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4.xml" ContentType="application/vnd.openxmlformats-officedocument.spreadsheetml.comments+xml"/>
  <Override PartName="/xl/tables/table14.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rvshare01\docs\mvargas\Desktop\pgai\2020\II semestre\"/>
    </mc:Choice>
  </mc:AlternateContent>
  <bookViews>
    <workbookView xWindow="0" yWindow="0" windowWidth="28800" windowHeight="12435" firstSheet="4" activeTab="11"/>
  </bookViews>
  <sheets>
    <sheet name="Menú" sheetId="7" r:id="rId1"/>
    <sheet name="Datos" sheetId="12" r:id="rId2"/>
    <sheet name="Instrucciones y autoría" sheetId="5" r:id="rId3"/>
    <sheet name="Factores" sheetId="4" r:id="rId4"/>
    <sheet name="Uso de Lubricantes" sheetId="13" r:id="rId5"/>
    <sheet name="Combustible" sheetId="2" r:id="rId6"/>
    <sheet name="Electricidad" sheetId="8" r:id="rId7"/>
    <sheet name="Aguas Residuales" sheetId="10" r:id="rId8"/>
    <sheet name="Residuos" sheetId="9" r:id="rId9"/>
    <sheet name="Emisiones Gases Refrigerantes" sheetId="11" r:id="rId10"/>
    <sheet name="Otras Emisiones" sheetId="14" r:id="rId11"/>
    <sheet name="Cálculo" sheetId="1" r:id="rId12"/>
  </sheets>
  <calcPr calcId="152511"/>
</workbook>
</file>

<file path=xl/calcChain.xml><?xml version="1.0" encoding="utf-8"?>
<calcChain xmlns="http://schemas.openxmlformats.org/spreadsheetml/2006/main">
  <c r="G8" i="1" l="1"/>
  <c r="G15" i="9" l="1"/>
  <c r="N9" i="2" l="1"/>
  <c r="N10" i="2"/>
  <c r="N11" i="2"/>
  <c r="N12" i="2"/>
  <c r="N13" i="2"/>
  <c r="N14" i="2"/>
  <c r="N8" i="2"/>
  <c r="M9" i="2"/>
  <c r="M10" i="2"/>
  <c r="M11" i="2"/>
  <c r="M12" i="2"/>
  <c r="M13" i="2"/>
  <c r="M14" i="2"/>
  <c r="M8" i="2"/>
  <c r="L9" i="2"/>
  <c r="L10" i="2"/>
  <c r="L11" i="2"/>
  <c r="L12" i="2"/>
  <c r="L13" i="2"/>
  <c r="L14" i="2"/>
  <c r="G9" i="2"/>
  <c r="G10" i="2"/>
  <c r="G11" i="2"/>
  <c r="G12" i="2"/>
  <c r="G13" i="2"/>
  <c r="G14" i="2"/>
  <c r="G8" i="2"/>
  <c r="F9" i="2"/>
  <c r="F10" i="2"/>
  <c r="F11" i="2"/>
  <c r="F12" i="2"/>
  <c r="F13" i="2"/>
  <c r="F14" i="2"/>
  <c r="F8" i="2"/>
  <c r="E8" i="2"/>
  <c r="E9" i="2"/>
  <c r="E10" i="2"/>
  <c r="E11" i="2"/>
  <c r="E12" i="2"/>
  <c r="E13" i="2"/>
  <c r="E14" i="2"/>
  <c r="C17" i="4" l="1"/>
  <c r="E8" i="9" l="1"/>
  <c r="D11" i="9"/>
  <c r="H15" i="10"/>
  <c r="I15" i="10" s="1"/>
  <c r="H16" i="10"/>
  <c r="H17" i="10"/>
  <c r="H10" i="10"/>
  <c r="H9" i="10"/>
  <c r="H8" i="10"/>
  <c r="I15" i="9" l="1"/>
  <c r="G16" i="9"/>
  <c r="H16" i="9" s="1"/>
  <c r="D10" i="11"/>
  <c r="D11" i="11"/>
  <c r="D12" i="11"/>
  <c r="D13" i="11"/>
  <c r="D14" i="11"/>
  <c r="D15" i="11"/>
  <c r="D16" i="11"/>
  <c r="D17" i="11"/>
  <c r="D18" i="11"/>
  <c r="D19" i="11"/>
  <c r="D20" i="11"/>
  <c r="D21" i="11"/>
  <c r="D22" i="11"/>
  <c r="D23" i="11"/>
  <c r="D24" i="11"/>
  <c r="D25" i="11"/>
  <c r="D26" i="11"/>
  <c r="D27" i="11"/>
  <c r="I16" i="9" l="1"/>
  <c r="H15" i="9"/>
  <c r="F8" i="9"/>
  <c r="B14" i="14"/>
  <c r="J12" i="1" s="1"/>
  <c r="E12" i="1" l="1"/>
  <c r="D11" i="13"/>
  <c r="E7" i="1"/>
  <c r="D8" i="13" l="1"/>
  <c r="G7" i="1"/>
  <c r="J7" i="1" s="1"/>
  <c r="I11" i="11" l="1"/>
  <c r="J11" i="11" s="1"/>
  <c r="I12" i="11"/>
  <c r="J12" i="11" s="1"/>
  <c r="I13" i="11"/>
  <c r="J13" i="11" s="1"/>
  <c r="I14" i="11"/>
  <c r="J14" i="11" s="1"/>
  <c r="I15" i="11"/>
  <c r="J15" i="11" s="1"/>
  <c r="I16" i="11"/>
  <c r="J16" i="11" s="1"/>
  <c r="I17" i="11"/>
  <c r="J17" i="11" s="1"/>
  <c r="I18" i="11"/>
  <c r="J18" i="11" s="1"/>
  <c r="I19" i="11"/>
  <c r="J19" i="11" s="1"/>
  <c r="I20" i="11"/>
  <c r="J20" i="11" s="1"/>
  <c r="I21" i="11"/>
  <c r="J21" i="11" s="1"/>
  <c r="I22" i="11"/>
  <c r="J22" i="11" s="1"/>
  <c r="I23" i="11"/>
  <c r="J23" i="11" s="1"/>
  <c r="I24" i="11"/>
  <c r="J24" i="11" s="1"/>
  <c r="I25" i="11"/>
  <c r="J25" i="11" s="1"/>
  <c r="I26" i="11"/>
  <c r="J26" i="11" s="1"/>
  <c r="I27" i="11"/>
  <c r="J27" i="11" s="1"/>
  <c r="I10" i="11"/>
  <c r="J10" i="11" s="1"/>
  <c r="I28" i="11" l="1"/>
  <c r="H28" i="11"/>
  <c r="J28" i="11" l="1"/>
  <c r="F9" i="9"/>
  <c r="F10" i="9"/>
  <c r="E9" i="9"/>
  <c r="E10" i="9"/>
  <c r="F11" i="9" l="1"/>
  <c r="I10" i="1" s="1"/>
  <c r="E11" i="9"/>
  <c r="G17" i="9"/>
  <c r="E10" i="1" s="1"/>
  <c r="H17" i="9"/>
  <c r="I17" i="9"/>
  <c r="H10" i="1" l="1"/>
  <c r="J10" i="1" s="1"/>
  <c r="I16" i="10" l="1"/>
  <c r="I17" i="10"/>
  <c r="J8" i="1"/>
  <c r="C5" i="1" l="1"/>
  <c r="K15" i="2"/>
  <c r="E6" i="1" s="1"/>
  <c r="M15" i="2" l="1"/>
  <c r="H6" i="1" s="1"/>
  <c r="N15" i="2"/>
  <c r="I6" i="1" s="1"/>
  <c r="D15" i="2" l="1"/>
  <c r="F15" i="2" l="1"/>
  <c r="H5" i="1" s="1"/>
  <c r="E15" i="2"/>
  <c r="G5" i="1" s="1"/>
  <c r="G15" i="2"/>
  <c r="I5" i="1" s="1"/>
  <c r="D28" i="11"/>
  <c r="J11" i="1" s="1"/>
  <c r="J5" i="1" l="1"/>
  <c r="C28" i="11"/>
  <c r="E11" i="1" s="1"/>
  <c r="I18" i="10" l="1"/>
  <c r="C6" i="1" l="1"/>
  <c r="F8" i="1"/>
  <c r="E8" i="1"/>
  <c r="F6" i="1"/>
  <c r="E5" i="1"/>
  <c r="F5" i="1"/>
  <c r="C18" i="4"/>
  <c r="C19" i="4"/>
  <c r="C21" i="4"/>
  <c r="C23" i="4"/>
  <c r="C24" i="4"/>
  <c r="L8" i="2" s="1"/>
  <c r="L15" i="2" l="1"/>
  <c r="G6" i="1" s="1"/>
  <c r="J6" i="1" s="1"/>
  <c r="H11" i="10"/>
  <c r="E9" i="1" s="1"/>
  <c r="H9" i="1" l="1"/>
  <c r="J9" i="1" s="1"/>
  <c r="J13" i="1" l="1"/>
</calcChain>
</file>

<file path=xl/comments1.xml><?xml version="1.0" encoding="utf-8"?>
<comments xmlns="http://schemas.openxmlformats.org/spreadsheetml/2006/main">
  <authors>
    <author>Daniel Víquez Romero</author>
  </authors>
  <commentList>
    <comment ref="C6" authorId="0" shapeId="0">
      <text>
        <r>
          <rPr>
            <b/>
            <sz val="9"/>
            <color indexed="81"/>
            <rFont val="Tahoma"/>
            <family val="2"/>
          </rPr>
          <t>Daniel Víquez Romero:</t>
        </r>
        <r>
          <rPr>
            <sz val="9"/>
            <color indexed="81"/>
            <rFont val="Tahoma"/>
            <family val="2"/>
          </rPr>
          <t xml:space="preserve">
Si el año de consumo no se encuentra en la lista seleccione el mas cercano</t>
        </r>
      </text>
    </comment>
  </commentList>
</comments>
</file>

<file path=xl/comments2.xml><?xml version="1.0" encoding="utf-8"?>
<comments xmlns="http://schemas.openxmlformats.org/spreadsheetml/2006/main">
  <authors>
    <author>Daniel Víquez Romero</author>
  </authors>
  <commentList>
    <comment ref="E14" authorId="0" shapeId="0">
      <text>
        <r>
          <rPr>
            <b/>
            <sz val="9"/>
            <color indexed="81"/>
            <rFont val="Tahoma"/>
            <family val="2"/>
          </rPr>
          <t>Daniel Víquez Romero:</t>
        </r>
        <r>
          <rPr>
            <sz val="9"/>
            <color indexed="81"/>
            <rFont val="Tahoma"/>
            <family val="2"/>
          </rPr>
          <t xml:space="preserve">
Indicar el promedio de las mediciones rutinarias del año</t>
        </r>
      </text>
    </comment>
    <comment ref="F14" authorId="0" shapeId="0">
      <text>
        <r>
          <rPr>
            <b/>
            <sz val="9"/>
            <color indexed="81"/>
            <rFont val="Tahoma"/>
            <family val="2"/>
          </rPr>
          <t>Daniel Víquez Romero:</t>
        </r>
        <r>
          <rPr>
            <sz val="9"/>
            <color indexed="81"/>
            <rFont val="Tahoma"/>
            <family val="2"/>
          </rPr>
          <t xml:space="preserve">
Indicar el promedio anual de las mediciones de DQO</t>
        </r>
      </text>
    </comment>
  </commentList>
</comments>
</file>

<file path=xl/comments3.xml><?xml version="1.0" encoding="utf-8"?>
<comments xmlns="http://schemas.openxmlformats.org/spreadsheetml/2006/main">
  <authors>
    <author>Daniel Víquez Romero</author>
  </authors>
  <commentList>
    <comment ref="C14" authorId="0" shapeId="0">
      <text>
        <r>
          <rPr>
            <b/>
            <sz val="9"/>
            <color indexed="81"/>
            <rFont val="Tahoma"/>
            <family val="2"/>
          </rPr>
          <t>Daniel Víquez Romero:</t>
        </r>
        <r>
          <rPr>
            <sz val="9"/>
            <color indexed="81"/>
            <rFont val="Tahoma"/>
            <family val="2"/>
          </rPr>
          <t xml:space="preserve">
Si los residuos son dispuestos a la recoleccion municipal, debe indicar "Relleno Sanitario".</t>
        </r>
      </text>
    </comment>
    <comment ref="D14" authorId="0" shapeId="0">
      <text>
        <r>
          <rPr>
            <b/>
            <sz val="9"/>
            <color indexed="81"/>
            <rFont val="Tahoma"/>
            <family val="2"/>
          </rPr>
          <t>Daniel Víquez Romero:</t>
        </r>
        <r>
          <rPr>
            <sz val="9"/>
            <color indexed="81"/>
            <rFont val="Tahoma"/>
            <family val="2"/>
          </rPr>
          <t xml:space="preserve">
En la primera fila se indican los empleados o funcionarios con los dias laborados al año, en caso de contar con personal 24h (seguridad), indicar el numero de personas que se encuentran 24h.(ver ejemplo)
Ejemplo: 
La organizacion cuenta con 3 personas de seguridad y 10 empleados con un horario ordinario.
 las cuales tienen un horario rotativo lo cual garantiza que en la organizacion siempre exista un oficial de seguridad, en este caso se contabilizaría unicamente una persona 24h/365dias</t>
        </r>
      </text>
    </comment>
    <comment ref="E14" authorId="0" shapeId="0">
      <text>
        <r>
          <rPr>
            <b/>
            <sz val="9"/>
            <color indexed="81"/>
            <rFont val="Tahoma"/>
            <family val="2"/>
          </rPr>
          <t>Daniel Víquez Romero:</t>
        </r>
        <r>
          <rPr>
            <sz val="9"/>
            <color indexed="81"/>
            <rFont val="Tahoma"/>
            <family val="2"/>
          </rPr>
          <t xml:space="preserve">
Horas que permanecen los empleados en la organización.
</t>
        </r>
      </text>
    </comment>
    <comment ref="F14" authorId="0" shapeId="0">
      <text>
        <r>
          <rPr>
            <b/>
            <sz val="9"/>
            <color indexed="81"/>
            <rFont val="Tahoma"/>
            <family val="2"/>
          </rPr>
          <t>Daniel Víquez Romero:</t>
        </r>
        <r>
          <rPr>
            <sz val="9"/>
            <color indexed="81"/>
            <rFont val="Tahoma"/>
            <family val="2"/>
          </rPr>
          <t xml:space="preserve">
Corresponde a los dias laborales, donde al año se excluyen vacaciones, feriados y fines de semana.</t>
        </r>
      </text>
    </comment>
  </commentList>
</comments>
</file>

<file path=xl/comments4.xml><?xml version="1.0" encoding="utf-8"?>
<comments xmlns="http://schemas.openxmlformats.org/spreadsheetml/2006/main">
  <authors>
    <author>Daniel Víquez Romero</author>
  </authors>
  <commentList>
    <comment ref="B4" authorId="0" shapeId="0">
      <text>
        <r>
          <rPr>
            <b/>
            <sz val="9"/>
            <color indexed="81"/>
            <rFont val="Tahoma"/>
            <family val="2"/>
          </rPr>
          <t>Daniel Víquez Romero:</t>
        </r>
        <r>
          <rPr>
            <sz val="9"/>
            <color indexed="81"/>
            <rFont val="Tahoma"/>
            <family val="2"/>
          </rPr>
          <t xml:space="preserve">
Ingresar los Kilogramos totales anuales de CO2e da cada tipo de emision</t>
        </r>
      </text>
    </comment>
  </commentList>
</comments>
</file>

<file path=xl/comments5.xml><?xml version="1.0" encoding="utf-8"?>
<comments xmlns="http://schemas.openxmlformats.org/spreadsheetml/2006/main">
  <authors>
    <author>Daniel Víquez Romero</author>
    <author>Karla María Astorga Castro</author>
  </authors>
  <commentList>
    <comment ref="B4" authorId="0" shapeId="0">
      <text>
        <r>
          <rPr>
            <b/>
            <sz val="9"/>
            <color indexed="81"/>
            <rFont val="Tahoma"/>
            <family val="2"/>
          </rPr>
          <t>Daniel Víquez Romero:</t>
        </r>
        <r>
          <rPr>
            <sz val="9"/>
            <color indexed="81"/>
            <rFont val="Tahoma"/>
            <family val="2"/>
          </rPr>
          <t xml:space="preserve">
Indicar si el tipo de emision es Directa o Indirecta.</t>
        </r>
      </text>
    </comment>
    <comment ref="J4" authorId="1" shapeId="0">
      <text>
        <r>
          <rPr>
            <b/>
            <sz val="9"/>
            <color indexed="81"/>
            <rFont val="Tahoma"/>
            <family val="2"/>
          </rPr>
          <t>Karla María Astorga Castro:</t>
        </r>
        <r>
          <rPr>
            <sz val="9"/>
            <color indexed="81"/>
            <rFont val="Tahoma"/>
            <family val="2"/>
          </rPr>
          <t xml:space="preserve">
Cuidar las unidades de los factores de emisión y de las cantidades anuales, ya que al final se solicita todo el dato en toneladas</t>
        </r>
      </text>
    </comment>
  </commentList>
</comments>
</file>

<file path=xl/sharedStrings.xml><?xml version="1.0" encoding="utf-8"?>
<sst xmlns="http://schemas.openxmlformats.org/spreadsheetml/2006/main" count="388" uniqueCount="290">
  <si>
    <t>Tipo de emisión</t>
  </si>
  <si>
    <t>Cantidad/año</t>
  </si>
  <si>
    <t>Electricidad</t>
  </si>
  <si>
    <t>Unidad</t>
  </si>
  <si>
    <t>Total kg RS por año laborado</t>
  </si>
  <si>
    <t>Tipo de Contaminante</t>
  </si>
  <si>
    <t>Cantidad de personas totales de la organización</t>
  </si>
  <si>
    <t>Tipo de Combustible</t>
  </si>
  <si>
    <t>Aspecto Ambiental</t>
  </si>
  <si>
    <t>Año de consumo</t>
  </si>
  <si>
    <t>Generación de Aguas Residuales</t>
  </si>
  <si>
    <t>Descripción</t>
  </si>
  <si>
    <r>
      <t xml:space="preserve">Consumo de combustible fósil / Emisión de gases
</t>
    </r>
    <r>
      <rPr>
        <b/>
        <sz val="11"/>
        <color indexed="10"/>
        <rFont val="Arial"/>
        <family val="2"/>
      </rPr>
      <t>Fuente Móvil</t>
    </r>
  </si>
  <si>
    <r>
      <t xml:space="preserve">Consumo de combustible fósil / Emisión de gases
</t>
    </r>
    <r>
      <rPr>
        <b/>
        <sz val="11"/>
        <color indexed="10"/>
        <rFont val="Arial"/>
        <family val="2"/>
      </rPr>
      <t>Fuente Fija</t>
    </r>
  </si>
  <si>
    <t>Generación de Residuos sólidos no valorizables</t>
  </si>
  <si>
    <t>Plantilla general para Inventario de Gases de Efecto Invernadero GEI</t>
  </si>
  <si>
    <t>Este inventario tiene el objetivo de concretar la recolección de los datos sobre los distintos aspectos ambientales, que tienen inferencia en la afectación a la capa de ozono y al incremento del efecto invernadero .</t>
  </si>
  <si>
    <t>Se pretende con esta plantilla, simplificar el inventario con base en datos recabados en otras hojas de registro.</t>
  </si>
  <si>
    <t>Autoría:</t>
  </si>
  <si>
    <t xml:space="preserve">Formato original: </t>
  </si>
  <si>
    <t xml:space="preserve">Versión final: </t>
  </si>
  <si>
    <t>Notas generales de uso:</t>
  </si>
  <si>
    <t xml:space="preserve">2014. Ernesto Prado, Green Forest Solutions y miembro de comisión verificadora de la EARTH </t>
  </si>
  <si>
    <t>Colaboración y visto bueno por parte de:</t>
  </si>
  <si>
    <t>Ing. Kathia Aguilar, Dirección de Cambio Climático</t>
  </si>
  <si>
    <t>Ing. Magda Protti Ramirez, Dirección de Gestión de Calidad Ambiental DIGECA</t>
  </si>
  <si>
    <t>R507</t>
  </si>
  <si>
    <t>R508B</t>
  </si>
  <si>
    <t>Factores de Emisión</t>
  </si>
  <si>
    <t>¿Qué es un factor de emisión? 
Es una relación numérica entre una actividad específica y la cantidad de gases de efecto invernadero que ésta puede generar</t>
  </si>
  <si>
    <r>
      <rPr>
        <b/>
        <sz val="11"/>
        <color indexed="8"/>
        <rFont val="Arial"/>
        <family val="2"/>
      </rPr>
      <t xml:space="preserve">¿Qué es una TCO2? </t>
    </r>
    <r>
      <rPr>
        <sz val="11"/>
        <color theme="1"/>
        <rFont val="Arial"/>
        <family val="2"/>
      </rPr>
      <t xml:space="preserve">
Es una tonelada de CO2 equivalente, que implica la relación hecha entre todos los gases y el CO2, para definir cuál es el impacto al fenómeno de efecto invernadero.
Este total de gas CO2eq es el que la organización debe buscar reducir y compensar</t>
    </r>
  </si>
  <si>
    <t>Dióxido de carbono</t>
  </si>
  <si>
    <t>HFC-134a</t>
  </si>
  <si>
    <t>Bromuro de metilo</t>
  </si>
  <si>
    <t>R22</t>
  </si>
  <si>
    <t xml:space="preserve">Isobutano R600A </t>
  </si>
  <si>
    <t>R406A</t>
  </si>
  <si>
    <t>R407A</t>
  </si>
  <si>
    <t>R407F</t>
  </si>
  <si>
    <t>R408A</t>
  </si>
  <si>
    <t>R409A</t>
  </si>
  <si>
    <t>R502</t>
  </si>
  <si>
    <t>CFC-11 / R11=Triclorofluorometano</t>
  </si>
  <si>
    <t>CFC-113 </t>
  </si>
  <si>
    <t>CFC-12 / R12= Diclorodifluorometano</t>
  </si>
  <si>
    <t>CFC-13 </t>
  </si>
  <si>
    <t>Cloroformo</t>
  </si>
  <si>
    <t>Cloruro de metileno</t>
  </si>
  <si>
    <t>Cloruro de metilo</t>
  </si>
  <si>
    <t>Halón-1301 </t>
  </si>
  <si>
    <t>HCFC-123 </t>
  </si>
  <si>
    <t>HCFC-124 </t>
  </si>
  <si>
    <t>HCFC-141b </t>
  </si>
  <si>
    <t>HCFC-142b </t>
  </si>
  <si>
    <t>Hexafluoruro de azufre</t>
  </si>
  <si>
    <t>HFC-125 </t>
  </si>
  <si>
    <t>HFC-134 </t>
  </si>
  <si>
    <t>HFC-143 </t>
  </si>
  <si>
    <t>HFC-143a </t>
  </si>
  <si>
    <t>HFC-152a </t>
  </si>
  <si>
    <t>HFC-227ea </t>
  </si>
  <si>
    <t>HFC-23 </t>
  </si>
  <si>
    <t>HFC-236fa </t>
  </si>
  <si>
    <t>HFC-245ca </t>
  </si>
  <si>
    <t>HFC-32 </t>
  </si>
  <si>
    <t>HFC-41 </t>
  </si>
  <si>
    <t>HFC-43-10mee </t>
  </si>
  <si>
    <t>HFE-245fa1  </t>
  </si>
  <si>
    <t>HFE-338pcc13 (HG-01) </t>
  </si>
  <si>
    <t>HFE-347mcf2  </t>
  </si>
  <si>
    <t>Metilcloroformo</t>
  </si>
  <si>
    <t>Perfluorobutano (PFC-3-1-10)  </t>
  </si>
  <si>
    <t>Perfluorociclobutano (PFC-318)  </t>
  </si>
  <si>
    <t>Perfluoroetano (PFC-116)  </t>
  </si>
  <si>
    <t>Perfluorohexano (PFC-5-1-14)  </t>
  </si>
  <si>
    <t>Perfluorometano (PFC-14)  </t>
  </si>
  <si>
    <t>Perfluoropentano (PFC-4-1-12)  </t>
  </si>
  <si>
    <t>Perfluoropropano (PFC-218)  </t>
  </si>
  <si>
    <t>PFPMIE  </t>
  </si>
  <si>
    <t xml:space="preserve">Propano R290 </t>
  </si>
  <si>
    <t>Tetracloruro de carbono</t>
  </si>
  <si>
    <t xml:space="preserve">Tetrafluoropropeno R1234yf </t>
  </si>
  <si>
    <t xml:space="preserve">Tetrafluoropropileno R1234ze </t>
  </si>
  <si>
    <t>Trifluoroiodomethane  </t>
  </si>
  <si>
    <t>trifluorometil pentafluoruro de azufre</t>
  </si>
  <si>
    <t>Trifluoruro de nitrógeno</t>
  </si>
  <si>
    <t>Datos Generales</t>
  </si>
  <si>
    <t>Aceite Lubricante</t>
  </si>
  <si>
    <t>Combustible</t>
  </si>
  <si>
    <t>Residuos Ordinarios</t>
  </si>
  <si>
    <t>Consumo de Combustibles</t>
  </si>
  <si>
    <t>TIPO DE COMBUSTIBLE</t>
  </si>
  <si>
    <t>CO2
(kg CO2/litro)</t>
  </si>
  <si>
    <t>CH4 
(g CH4/ litro)</t>
  </si>
  <si>
    <t>N2O
(g N2O/litro)</t>
  </si>
  <si>
    <t>BUNKER</t>
  </si>
  <si>
    <t>GASOLINA sin catalizador</t>
  </si>
  <si>
    <t>GASOLINA con catalizador</t>
  </si>
  <si>
    <t>LPG</t>
  </si>
  <si>
    <t>DIESEL (transporte terrestre)</t>
  </si>
  <si>
    <t>LPG (transporte terrestre)</t>
  </si>
  <si>
    <t>Manufactura y construcción</t>
  </si>
  <si>
    <t>DIESEL</t>
  </si>
  <si>
    <t>Comercial / institucional</t>
  </si>
  <si>
    <t>GASOLINA</t>
  </si>
  <si>
    <t>Fuente de información:</t>
  </si>
  <si>
    <t>Factor de emisión</t>
  </si>
  <si>
    <t>Detalle</t>
  </si>
  <si>
    <t>Uso de electricidad</t>
  </si>
  <si>
    <t>kgCO2e / kWh</t>
  </si>
  <si>
    <t>Año de referencia del factor:</t>
  </si>
  <si>
    <t>Sitio web:</t>
  </si>
  <si>
    <t>Factor de emisión para el Uso de Electricidad</t>
  </si>
  <si>
    <t>Relleno Sanitario</t>
  </si>
  <si>
    <t>Tipo de Tratamiento</t>
  </si>
  <si>
    <t>Compost</t>
  </si>
  <si>
    <t>Biodigestor</t>
  </si>
  <si>
    <r>
      <t>kg CH</t>
    </r>
    <r>
      <rPr>
        <b/>
        <vertAlign val="subscript"/>
        <sz val="11"/>
        <color indexed="8"/>
        <rFont val="Arial"/>
        <family val="2"/>
      </rPr>
      <t>4</t>
    </r>
    <r>
      <rPr>
        <b/>
        <sz val="11"/>
        <color indexed="8"/>
        <rFont val="Arial"/>
        <family val="2"/>
      </rPr>
      <t>/ kg Residuo</t>
    </r>
  </si>
  <si>
    <r>
      <t>kg N</t>
    </r>
    <r>
      <rPr>
        <b/>
        <vertAlign val="subscript"/>
        <sz val="11"/>
        <color indexed="8"/>
        <rFont val="Arial"/>
        <family val="2"/>
      </rPr>
      <t>2</t>
    </r>
    <r>
      <rPr>
        <b/>
        <sz val="11"/>
        <color indexed="8"/>
        <rFont val="Arial"/>
        <family val="2"/>
      </rPr>
      <t>O/ kg de Residuo</t>
    </r>
  </si>
  <si>
    <t>---</t>
  </si>
  <si>
    <t>Presol 2010</t>
  </si>
  <si>
    <t>Aguas Domesticas</t>
  </si>
  <si>
    <t>Lagunas</t>
  </si>
  <si>
    <t>Aguas Industriales</t>
  </si>
  <si>
    <t>Factor de emisión              kg CH4/kg DQO</t>
  </si>
  <si>
    <t>Factor de emisión              kg CH4/persona/año</t>
  </si>
  <si>
    <t>Reactor Anaeróbico</t>
  </si>
  <si>
    <t>Laguna Anaeróbica profunda</t>
  </si>
  <si>
    <t>Laguna Anaeróbica poca profunda</t>
  </si>
  <si>
    <t>Tipo de gas refrigerante</t>
  </si>
  <si>
    <t>PCG para gases refrigerantes</t>
  </si>
  <si>
    <t>Potencial de calentamiento global (CO2 e)</t>
  </si>
  <si>
    <t>Factores de Emision para Combustibles</t>
  </si>
  <si>
    <t>Litros Totales/ año</t>
  </si>
  <si>
    <t>Litros Totales / año</t>
  </si>
  <si>
    <t>Tipo de Fuente Móvil</t>
  </si>
  <si>
    <t>Tipo de Fuente Fija</t>
  </si>
  <si>
    <t>Consumo de Electricidad</t>
  </si>
  <si>
    <t>Institución:</t>
  </si>
  <si>
    <t>Responsable institucional:</t>
  </si>
  <si>
    <t>Dependencia:</t>
  </si>
  <si>
    <t>Teléfono:</t>
  </si>
  <si>
    <t>Correo electrónico:</t>
  </si>
  <si>
    <t>Período el reporte:</t>
  </si>
  <si>
    <t>kWh Totales / año</t>
  </si>
  <si>
    <t xml:space="preserve"> </t>
  </si>
  <si>
    <t>Total</t>
  </si>
  <si>
    <r>
      <t>TCO</t>
    </r>
    <r>
      <rPr>
        <b/>
        <vertAlign val="subscript"/>
        <sz val="14"/>
        <color indexed="9"/>
        <rFont val="Arial"/>
        <family val="2"/>
      </rPr>
      <t>2</t>
    </r>
    <r>
      <rPr>
        <b/>
        <sz val="14"/>
        <color indexed="9"/>
        <rFont val="Arial"/>
        <family val="2"/>
      </rPr>
      <t xml:space="preserve"> eq emitido/ año</t>
    </r>
  </si>
  <si>
    <t>kg/persona/día</t>
  </si>
  <si>
    <t>kg totales/año</t>
  </si>
  <si>
    <t xml:space="preserve">  </t>
  </si>
  <si>
    <t>Opción 2: Cuando se cuenta con Aguas de Tipo Especial o Industriales</t>
  </si>
  <si>
    <t>kg anuales DQO</t>
  </si>
  <si>
    <t>Alcance</t>
  </si>
  <si>
    <t>Sede/Edificio:</t>
  </si>
  <si>
    <t>kg CH4/año</t>
  </si>
  <si>
    <t xml:space="preserve"> kg CH4/año</t>
  </si>
  <si>
    <t>Alcantarillado Sanitario</t>
  </si>
  <si>
    <t>Planta de Tratamiento</t>
  </si>
  <si>
    <t>Tipo de Gas</t>
  </si>
  <si>
    <t>Emisiones de Gases Refrigerantes y otras fuentes</t>
  </si>
  <si>
    <t>Resumen de las Emisiones GEI</t>
  </si>
  <si>
    <r>
      <t>kg/CH</t>
    </r>
    <r>
      <rPr>
        <b/>
        <vertAlign val="subscript"/>
        <sz val="11"/>
        <color theme="0"/>
        <rFont val="Arial"/>
        <family val="2"/>
      </rPr>
      <t>4</t>
    </r>
    <r>
      <rPr>
        <b/>
        <sz val="11"/>
        <color theme="0"/>
        <rFont val="Arial"/>
        <family val="2"/>
      </rPr>
      <t>/Año</t>
    </r>
  </si>
  <si>
    <r>
      <t xml:space="preserve"> kg/N</t>
    </r>
    <r>
      <rPr>
        <b/>
        <vertAlign val="subscript"/>
        <sz val="11"/>
        <color theme="1"/>
        <rFont val="Arial"/>
        <family val="2"/>
      </rPr>
      <t>2</t>
    </r>
    <r>
      <rPr>
        <b/>
        <sz val="11"/>
        <color theme="1"/>
        <rFont val="Arial"/>
        <family val="2"/>
      </rPr>
      <t>O/Año</t>
    </r>
  </si>
  <si>
    <t>kg CO2e/Año</t>
  </si>
  <si>
    <t>Año de Consumo</t>
  </si>
  <si>
    <t>----</t>
  </si>
  <si>
    <t>Tipo de tratamiento</t>
  </si>
  <si>
    <t>kg CO2/Año</t>
  </si>
  <si>
    <t>CH4</t>
  </si>
  <si>
    <t>N2O</t>
  </si>
  <si>
    <t>kg/N2O/año</t>
  </si>
  <si>
    <t>Fuga Anual (gramos/año)</t>
  </si>
  <si>
    <t>Instrucciones</t>
  </si>
  <si>
    <t>Aguas Residuales</t>
  </si>
  <si>
    <r>
      <rPr>
        <b/>
        <sz val="10"/>
        <color theme="1"/>
        <rFont val="Arial"/>
        <family val="2"/>
      </rPr>
      <t>Instrucción:</t>
    </r>
    <r>
      <rPr>
        <sz val="10"/>
        <color theme="1"/>
        <rFont val="Arial"/>
        <family val="2"/>
      </rPr>
      <t xml:space="preserve"> Indique el total de kWh consumidos en el año, según la hoja de registro de consumo de electricidad</t>
    </r>
  </si>
  <si>
    <t>Instrucción: Complete según sea el caso de su organización.</t>
  </si>
  <si>
    <t>Horas en la organización al día</t>
  </si>
  <si>
    <t>Días laborados/año</t>
  </si>
  <si>
    <t>Instrucción: Complete según sea el caso de su institucion. Nota: La opción número 2 es válida solamente para el primer año de realización del inventario GEI.</t>
  </si>
  <si>
    <t>Cantidad en Inventario (gramos)</t>
  </si>
  <si>
    <t>Fuga Teorica de 10% (gr)</t>
  </si>
  <si>
    <t>IMPORTANTE: Solamente llenar uno de las siguientes opciones según el escenario de la organización</t>
  </si>
  <si>
    <t>Uso de Lubricantes</t>
  </si>
  <si>
    <t>Se refiere al uso del lubricante alimentado, no se incluye la quema del lubricante como por ejemplo en equipo que utilice combustible con mezcla.</t>
  </si>
  <si>
    <t>Factor de emisión para el Uso de Lubricantes</t>
  </si>
  <si>
    <t>kgCO2/ L</t>
  </si>
  <si>
    <t>Litros Totales</t>
  </si>
  <si>
    <t>kg CO2</t>
  </si>
  <si>
    <t>Calculadora</t>
  </si>
  <si>
    <t>Litros</t>
  </si>
  <si>
    <t xml:space="preserve">Galones </t>
  </si>
  <si>
    <t>2018.Ingeniero Daniel Víquez Romero, DIGECA, Licenciada Karla Astorga Castro, Gestora Ambiental, Docente INA, kastorgacastro@ina.cr</t>
  </si>
  <si>
    <t>TOTAL</t>
  </si>
  <si>
    <t>Instrucciones: Ingrese los litros totales del año según tipo de combustible,la informacion puede obtenerse de la hoja de registros de Combustibles del PGAI de su institucion</t>
  </si>
  <si>
    <t>Otras Emisiones</t>
  </si>
  <si>
    <t>Otras Emsiones</t>
  </si>
  <si>
    <t>Total kilogramos CO2e</t>
  </si>
  <si>
    <t>-----</t>
  </si>
  <si>
    <t>Fuga Anual (Ton/CO2e)</t>
  </si>
  <si>
    <t>Fuga Teorica Anual (Ton/CO2e)</t>
  </si>
  <si>
    <t>R404a</t>
  </si>
  <si>
    <t>CFC-114* </t>
  </si>
  <si>
    <t>CFC-115* </t>
  </si>
  <si>
    <t>Halón-1211* </t>
  </si>
  <si>
    <t>Halón-2402* </t>
  </si>
  <si>
    <t>HCFC-21* </t>
  </si>
  <si>
    <t>HCFC-225ca* </t>
  </si>
  <si>
    <t>HCFC-225cb*</t>
  </si>
  <si>
    <t>HFC-152* </t>
  </si>
  <si>
    <t>HFC-161*</t>
  </si>
  <si>
    <t>HFC-236cb*</t>
  </si>
  <si>
    <t>HFC-236ea*</t>
  </si>
  <si>
    <t>HFC-245fa *</t>
  </si>
  <si>
    <t>HFC-365mfc *</t>
  </si>
  <si>
    <t>HFE 263fb2  *</t>
  </si>
  <si>
    <t>HFE 365mcf3  *</t>
  </si>
  <si>
    <t>HFE-125  *</t>
  </si>
  <si>
    <t>HFE-134  *</t>
  </si>
  <si>
    <t>HFE-143a  *</t>
  </si>
  <si>
    <t>HFE-227ea  *</t>
  </si>
  <si>
    <t>HFE-236ca12 (HG-10)  *</t>
  </si>
  <si>
    <t>HFE-236ea2  *</t>
  </si>
  <si>
    <t>HFE-236fa  *</t>
  </si>
  <si>
    <t>HFE-245cb2  *</t>
  </si>
  <si>
    <t>HFE-245fa2  *</t>
  </si>
  <si>
    <t>HFE-329mcc2  *</t>
  </si>
  <si>
    <t>HFE-338mcf2  *</t>
  </si>
  <si>
    <t>HFE-347mcc3  *</t>
  </si>
  <si>
    <t>HFE-347pcf2  *</t>
  </si>
  <si>
    <t>HFE-356mec3  *</t>
  </si>
  <si>
    <t>HFE-356pcf2  *</t>
  </si>
  <si>
    <t>HFE-356pcf3  *</t>
  </si>
  <si>
    <t>HFE-356pcc3  *</t>
  </si>
  <si>
    <t>HFE-374pc2  *</t>
  </si>
  <si>
    <t>HFE-43-10pccc124 (H-Galden 1040x)  *</t>
  </si>
  <si>
    <t>HFE-449sl (HFE-7100)  *</t>
  </si>
  <si>
    <t>HFE-569sf2 (HFE-7200)  *</t>
  </si>
  <si>
    <t>Perfluorocyclopropano*</t>
  </si>
  <si>
    <t>PFC-9-1-18  *</t>
  </si>
  <si>
    <t>R134a</t>
  </si>
  <si>
    <t xml:space="preserve">Jet fuel </t>
  </si>
  <si>
    <t>Promedio Caudal Q (m3/dia)</t>
  </si>
  <si>
    <t>Días de vertido por año</t>
  </si>
  <si>
    <t>Concentracion Promedio DQO (mg/L)</t>
  </si>
  <si>
    <t>Gases Refrigerantes y Otros</t>
  </si>
  <si>
    <t>Fuentes de Emisión</t>
  </si>
  <si>
    <t xml:space="preserve">Cálculo de Emisiones </t>
  </si>
  <si>
    <t>Volver al Menú</t>
  </si>
  <si>
    <t>Accesible a todas las personas u organizaciones que lo requieran.</t>
  </si>
  <si>
    <t>Algunas celdas se encuentran bloqueadas, ya que contienen fórmulas, las mismas se bloquean para evitar borrarlas.</t>
  </si>
  <si>
    <r>
      <t>La hoja "</t>
    </r>
    <r>
      <rPr>
        <b/>
        <sz val="11"/>
        <color indexed="8"/>
        <rFont val="Calibri"/>
        <family val="2"/>
      </rPr>
      <t>Datos"</t>
    </r>
    <r>
      <rPr>
        <sz val="11"/>
        <color indexed="8"/>
        <rFont val="Calibri"/>
        <family val="2"/>
      </rPr>
      <t xml:space="preserve"> contiene la estructura para incorporar los </t>
    </r>
    <r>
      <rPr>
        <b/>
        <sz val="11"/>
        <color indexed="8"/>
        <rFont val="Calibri"/>
        <family val="2"/>
      </rPr>
      <t>totales</t>
    </r>
    <r>
      <rPr>
        <sz val="11"/>
        <color indexed="8"/>
        <rFont val="Calibri"/>
        <family val="2"/>
      </rPr>
      <t xml:space="preserve"> de los datos registrados en distintos aspectos ambientales. A excepción de algunos, como aguas residuales, para los cuales se establece el cálculo directo en dicha hoja.</t>
    </r>
  </si>
  <si>
    <r>
      <t xml:space="preserve">Si se requiere ajustar celdas bloqueadas,la contraseña esta en blanco </t>
    </r>
    <r>
      <rPr>
        <b/>
        <sz val="11"/>
        <color indexed="8"/>
        <rFont val="Calibri"/>
        <family val="2"/>
      </rPr>
      <t xml:space="preserve"> </t>
    </r>
    <r>
      <rPr>
        <sz val="11"/>
        <color indexed="8"/>
        <rFont val="Calibri"/>
        <family val="2"/>
      </rPr>
      <t>para desproteger la hoja.</t>
    </r>
  </si>
  <si>
    <r>
      <t>Si se realiza algún ajuste en la plantilla o se toma para algún informe,</t>
    </r>
    <r>
      <rPr>
        <b/>
        <sz val="11"/>
        <color indexed="8"/>
        <rFont val="Calibri"/>
        <family val="2"/>
      </rPr>
      <t xml:space="preserve"> en respeto a derechos de autoría</t>
    </r>
    <r>
      <rPr>
        <sz val="11"/>
        <color indexed="8"/>
        <rFont val="Calibri"/>
        <family val="2"/>
      </rPr>
      <t>, indicar las referencias anteriores a los cambios (ver nota de autoría).</t>
    </r>
  </si>
  <si>
    <r>
      <t>La hoja "</t>
    </r>
    <r>
      <rPr>
        <b/>
        <sz val="11"/>
        <color indexed="8"/>
        <rFont val="Calibri"/>
        <family val="2"/>
      </rPr>
      <t>Factores"</t>
    </r>
    <r>
      <rPr>
        <sz val="11"/>
        <color indexed="8"/>
        <rFont val="Calibri"/>
        <family val="2"/>
      </rPr>
      <t xml:space="preserve"> contiene la estructura para incorporar los factores de emisión a utilizar, los cuales pueden deben ser tomados de la base de datos del Instituto Meteorológico Nacional (www.cglobal.imn.ac.cr) y si no estuviera el factor requerido, de la base de datos del IPCC (www.ipcc-nggip.iges.or.jp/EFDB/main.php).</t>
    </r>
  </si>
  <si>
    <r>
      <t>La hoja "</t>
    </r>
    <r>
      <rPr>
        <b/>
        <sz val="11"/>
        <color indexed="8"/>
        <rFont val="Calibri"/>
        <family val="2"/>
      </rPr>
      <t>Cálculo"</t>
    </r>
    <r>
      <rPr>
        <sz val="11"/>
        <color indexed="8"/>
        <rFont val="Calibri"/>
        <family val="2"/>
      </rPr>
      <t xml:space="preserve"> es la estructura final donde se ubicarían toda la información de las hojas </t>
    </r>
    <r>
      <rPr>
        <b/>
        <sz val="11"/>
        <color indexed="8"/>
        <rFont val="Calibri"/>
        <family val="2"/>
      </rPr>
      <t>Datos, Factores.</t>
    </r>
    <r>
      <rPr>
        <sz val="11"/>
        <color indexed="8"/>
        <rFont val="Calibri"/>
        <family val="2"/>
      </rPr>
      <t xml:space="preserve"> La incorporación de esta información esta automatizada al resto de hojas de cálculo.</t>
    </r>
  </si>
  <si>
    <t>Factor de emisión para los Residuos Sólidos</t>
  </si>
  <si>
    <t>Generación de Residuos</t>
  </si>
  <si>
    <t>Factores de emisión para Aguas Residuales</t>
  </si>
  <si>
    <t>Fuente: GHG Protocol 2do Reporte</t>
  </si>
  <si>
    <t>*No disponible en 2do reporte por lo que se utiliza los factores del 5to reporte</t>
  </si>
  <si>
    <t>Descarga a Ríos</t>
  </si>
  <si>
    <t>Tanques Sépticos</t>
  </si>
  <si>
    <t>Cálculo de Emisiones</t>
  </si>
  <si>
    <r>
      <rPr>
        <b/>
        <sz val="10"/>
        <color theme="1"/>
        <rFont val="Arial"/>
        <family val="2"/>
      </rPr>
      <t>Instrucción:</t>
    </r>
    <r>
      <rPr>
        <sz val="10"/>
        <color theme="1"/>
        <rFont val="Arial"/>
        <family val="2"/>
      </rPr>
      <t xml:space="preserve"> Indique el total de litros consumidos en el año, según el mantenimiento de los equipos que hacen uso de lubricantes, sino posee el dato en litros utilice la calculadora proporcionada para comvertir de galones a litros</t>
    </r>
  </si>
  <si>
    <t>Opción 1: Cuando  se cuenta con Aguas Residuales de Tipo Doméstica</t>
  </si>
  <si>
    <r>
      <t xml:space="preserve">Opción 1: </t>
    </r>
    <r>
      <rPr>
        <sz val="10"/>
        <color theme="1"/>
        <rFont val="Arial"/>
        <family val="2"/>
      </rPr>
      <t>En caso de calcular directamente la generación de residuos no valorizables, los cúales se destinan al Relleno Sanitario, Compost o Biodigestor.  Debe indicar el tipo de tratamiento así como  la cantidad total anual enviada al relleno sanitario.</t>
    </r>
  </si>
  <si>
    <r>
      <t xml:space="preserve">Opción 2: </t>
    </r>
    <r>
      <rPr>
        <sz val="10"/>
        <color theme="1"/>
        <rFont val="Arial"/>
        <family val="2"/>
      </rPr>
      <t xml:space="preserve">No se dispone de información de los residuos reales generados por la institución. </t>
    </r>
    <r>
      <rPr>
        <u/>
        <sz val="10"/>
        <color indexed="8"/>
        <rFont val="Arial"/>
        <family val="2"/>
      </rPr>
      <t>Nota: Esta opción solamente es válida para el primer año del inventario.</t>
    </r>
  </si>
  <si>
    <t>Instrucciones: Ingrese la cantidad por tipo de gas registrado en la hoja de registro de Gases Refrigerantes .Nota: Si se llenan los dos cuadros el Cálculo del inventario solamente considerará la Opción 1</t>
  </si>
  <si>
    <r>
      <t>Opción 1: S</t>
    </r>
    <r>
      <rPr>
        <sz val="10"/>
        <color theme="1"/>
        <rFont val="Arial"/>
        <family val="2"/>
      </rPr>
      <t>e calculan las emisiones  según las recargas de refrigerante realizadas durante el año.</t>
    </r>
  </si>
  <si>
    <r>
      <t>Opción 2:</t>
    </r>
    <r>
      <rPr>
        <sz val="10"/>
        <color theme="1"/>
        <rFont val="Arial"/>
        <family val="2"/>
      </rPr>
      <t xml:space="preserve"> Basado en el inventario se calculan las emisiones  asumiendo un 10% de fuga del inventario</t>
    </r>
  </si>
  <si>
    <t>Emisión de Gases Refrigerantes y otras fuentes</t>
  </si>
  <si>
    <t>Generación de Residuos Sólidos</t>
  </si>
  <si>
    <t>INVENTARIO EMISIONES DE GASES EFECTO INVERNADERO</t>
  </si>
  <si>
    <t>Gasolina de avion</t>
  </si>
  <si>
    <t>Queroseno</t>
  </si>
  <si>
    <t>R402a</t>
  </si>
  <si>
    <t>R402b</t>
  </si>
  <si>
    <t>R404B</t>
  </si>
  <si>
    <t>R407c</t>
  </si>
  <si>
    <t>R410a</t>
  </si>
  <si>
    <t>ISCEON MO49</t>
  </si>
  <si>
    <t>SF6</t>
  </si>
  <si>
    <t>http://cglobal.imn.ac.cr/documentos/publicaciones/factoresemision/factoresemision2020/</t>
  </si>
  <si>
    <t>Año 2019</t>
  </si>
  <si>
    <t>Instituto Meteorológico Nacional Decima edición (2020)</t>
  </si>
  <si>
    <t>Oficina Nacional de Semillas</t>
  </si>
  <si>
    <t>Ing. Emilio Fournier Castro</t>
  </si>
  <si>
    <t>efournier@ofinase.go.cr</t>
  </si>
  <si>
    <t xml:space="preserve">vehiculos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</si>
</sst>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0.0000"/>
    <numFmt numFmtId="167" formatCode="0.00000"/>
  </numFmts>
  <fonts count="6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Arial"/>
      <family val="2"/>
    </font>
    <font>
      <b/>
      <vertAlign val="subscript"/>
      <sz val="11"/>
      <color indexed="8"/>
      <name val="Arial"/>
      <family val="2"/>
    </font>
    <font>
      <sz val="9"/>
      <color indexed="81"/>
      <name val="Tahoma"/>
      <family val="2"/>
    </font>
    <font>
      <b/>
      <sz val="9"/>
      <color indexed="81"/>
      <name val="Tahoma"/>
      <family val="2"/>
    </font>
    <font>
      <sz val="11"/>
      <name val="Arial"/>
      <family val="2"/>
    </font>
    <font>
      <b/>
      <sz val="11"/>
      <color indexed="10"/>
      <name val="Arial"/>
      <family val="2"/>
    </font>
    <font>
      <sz val="11"/>
      <color indexed="8"/>
      <name val="Calibri"/>
      <family val="2"/>
    </font>
    <font>
      <b/>
      <sz val="11"/>
      <color indexed="8"/>
      <name val="Calibri"/>
      <family val="2"/>
    </font>
    <font>
      <sz val="10"/>
      <name val="Arial"/>
      <family val="2"/>
    </font>
    <font>
      <b/>
      <sz val="14"/>
      <color indexed="9"/>
      <name val="Arial"/>
      <family val="2"/>
    </font>
    <font>
      <b/>
      <vertAlign val="subscript"/>
      <sz val="14"/>
      <color indexed="9"/>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b/>
      <sz val="11"/>
      <color theme="1"/>
      <name val="Calibri"/>
      <family val="2"/>
      <scheme val="minor"/>
    </font>
    <font>
      <b/>
      <sz val="11"/>
      <color theme="1"/>
      <name val="Arial"/>
      <family val="2"/>
    </font>
    <font>
      <sz val="10"/>
      <color rgb="FF000000"/>
      <name val="Arial"/>
      <family val="2"/>
    </font>
    <font>
      <sz val="22"/>
      <color theme="3" tint="-0.249977111117893"/>
      <name val="Arial"/>
      <family val="2"/>
    </font>
    <font>
      <sz val="12"/>
      <color theme="1"/>
      <name val="Calibri"/>
      <family val="2"/>
      <scheme val="minor"/>
    </font>
    <font>
      <b/>
      <sz val="11"/>
      <name val="Calibri"/>
      <family val="2"/>
      <scheme val="minor"/>
    </font>
    <font>
      <sz val="11"/>
      <name val="Calibri"/>
      <family val="2"/>
      <scheme val="minor"/>
    </font>
    <font>
      <b/>
      <sz val="10"/>
      <color theme="0"/>
      <name val="Arial"/>
      <family val="2"/>
    </font>
    <font>
      <b/>
      <sz val="22"/>
      <color theme="1"/>
      <name val="Calibri"/>
      <family val="2"/>
      <scheme val="minor"/>
    </font>
    <font>
      <b/>
      <sz val="11"/>
      <color theme="0"/>
      <name val="Arial"/>
      <family val="2"/>
    </font>
    <font>
      <b/>
      <sz val="14"/>
      <color rgb="FF000000"/>
      <name val="Calibri"/>
      <family val="2"/>
      <scheme val="minor"/>
    </font>
    <font>
      <sz val="14"/>
      <color theme="1"/>
      <name val="Calibri"/>
      <family val="2"/>
      <scheme val="minor"/>
    </font>
    <font>
      <sz val="18"/>
      <color theme="1"/>
      <name val="Calibri"/>
      <family val="2"/>
      <scheme val="minor"/>
    </font>
    <font>
      <b/>
      <sz val="18"/>
      <color theme="1"/>
      <name val="Arial"/>
      <family val="2"/>
    </font>
    <font>
      <sz val="11"/>
      <color theme="1"/>
      <name val="Calibri"/>
      <family val="2"/>
    </font>
    <font>
      <b/>
      <sz val="14"/>
      <color theme="0"/>
      <name val="Arial"/>
      <family val="2"/>
    </font>
    <font>
      <sz val="18"/>
      <color theme="0"/>
      <name val="Arial"/>
      <family val="2"/>
    </font>
    <font>
      <b/>
      <sz val="14"/>
      <color theme="1"/>
      <name val="Calibri"/>
      <family val="2"/>
      <scheme val="minor"/>
    </font>
    <font>
      <b/>
      <sz val="18"/>
      <color theme="1"/>
      <name val="Calibri"/>
      <family val="2"/>
      <scheme val="minor"/>
    </font>
    <font>
      <b/>
      <sz val="16"/>
      <color theme="1"/>
      <name val="Calibri"/>
      <family val="2"/>
      <scheme val="minor"/>
    </font>
    <font>
      <b/>
      <sz val="22"/>
      <name val="Calibri"/>
      <family val="2"/>
      <scheme val="minor"/>
    </font>
    <font>
      <i/>
      <sz val="11"/>
      <color theme="1"/>
      <name val="Arial"/>
      <family val="2"/>
    </font>
    <font>
      <b/>
      <vertAlign val="subscript"/>
      <sz val="11"/>
      <color theme="1"/>
      <name val="Arial"/>
      <family val="2"/>
    </font>
    <font>
      <b/>
      <vertAlign val="subscript"/>
      <sz val="11"/>
      <color theme="0"/>
      <name val="Arial"/>
      <family val="2"/>
    </font>
    <font>
      <sz val="11"/>
      <name val="Arial"/>
      <family val="2"/>
    </font>
    <font>
      <b/>
      <sz val="10"/>
      <color theme="1"/>
      <name val="Arial"/>
      <family val="2"/>
    </font>
    <font>
      <sz val="10"/>
      <color theme="1"/>
      <name val="Arial"/>
      <family val="2"/>
    </font>
    <font>
      <u/>
      <sz val="10"/>
      <color indexed="8"/>
      <name val="Arial"/>
      <family val="2"/>
    </font>
    <font>
      <sz val="11"/>
      <color rgb="FF9C6500"/>
      <name val="Calibri"/>
      <family val="2"/>
      <scheme val="minor"/>
    </font>
    <font>
      <b/>
      <u/>
      <sz val="11"/>
      <color theme="1"/>
      <name val="Arial"/>
      <family val="2"/>
    </font>
    <font>
      <b/>
      <sz val="16"/>
      <color theme="0"/>
      <name val="Calibri"/>
      <family val="2"/>
      <scheme val="minor"/>
    </font>
    <font>
      <b/>
      <sz val="14"/>
      <color theme="1"/>
      <name val="Arial"/>
      <family val="2"/>
    </font>
    <font>
      <sz val="12"/>
      <color theme="0"/>
      <name val="Arial"/>
      <family val="2"/>
    </font>
    <font>
      <sz val="8"/>
      <color theme="1"/>
      <name val="Arial"/>
      <family val="2"/>
    </font>
    <font>
      <b/>
      <sz val="16"/>
      <color theme="1"/>
      <name val="Arial"/>
      <family val="2"/>
    </font>
    <font>
      <b/>
      <sz val="22"/>
      <color theme="0"/>
      <name val="Calibri"/>
      <family val="2"/>
      <scheme val="minor"/>
    </font>
    <font>
      <b/>
      <sz val="14"/>
      <color theme="0"/>
      <name val="Calibri"/>
      <family val="2"/>
      <scheme val="minor"/>
    </font>
    <font>
      <b/>
      <sz val="12"/>
      <color theme="0"/>
      <name val="Arial"/>
      <family val="2"/>
    </font>
    <font>
      <sz val="16"/>
      <color theme="1"/>
      <name val="Calibri"/>
      <family val="2"/>
      <scheme val="minor"/>
    </font>
  </fonts>
  <fills count="20">
    <fill>
      <patternFill patternType="none"/>
    </fill>
    <fill>
      <patternFill patternType="gray125"/>
    </fill>
    <fill>
      <patternFill patternType="solid">
        <fgColor theme="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6"/>
      </patternFill>
    </fill>
    <fill>
      <patternFill patternType="solid">
        <fgColor theme="8"/>
      </patternFill>
    </fill>
    <fill>
      <patternFill patternType="solid">
        <fgColor rgb="FFFF0000"/>
        <bgColor indexed="64"/>
      </patternFill>
    </fill>
    <fill>
      <patternFill patternType="solid">
        <fgColor theme="5"/>
        <bgColor indexed="64"/>
      </patternFill>
    </fill>
    <fill>
      <patternFill patternType="solid">
        <fgColor theme="6"/>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theme="0"/>
      </bottom>
      <diagonal/>
    </border>
    <border>
      <left/>
      <right/>
      <top style="thin">
        <color theme="3" tint="0.79998168889431442"/>
      </top>
      <bottom/>
      <diagonal/>
    </border>
    <border>
      <left/>
      <right style="thin">
        <color theme="3" tint="0.79998168889431442"/>
      </right>
      <top style="thin">
        <color theme="3" tint="0.79998168889431442"/>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thin">
        <color theme="0"/>
      </left>
      <right style="thin">
        <color theme="0"/>
      </right>
      <top style="thin">
        <color theme="0"/>
      </top>
      <bottom/>
      <diagonal/>
    </border>
    <border>
      <left/>
      <right style="thin">
        <color indexed="64"/>
      </right>
      <top/>
      <bottom/>
      <diagonal/>
    </border>
    <border>
      <left style="thin">
        <color rgb="FF92D050"/>
      </left>
      <right style="thin">
        <color indexed="64"/>
      </right>
      <top style="thin">
        <color rgb="FF92D050"/>
      </top>
      <bottom style="thin">
        <color indexed="64"/>
      </bottom>
      <diagonal/>
    </border>
    <border>
      <left style="thin">
        <color indexed="64"/>
      </left>
      <right style="thin">
        <color indexed="64"/>
      </right>
      <top style="thin">
        <color rgb="FF92D050"/>
      </top>
      <bottom style="thin">
        <color indexed="64"/>
      </bottom>
      <diagonal/>
    </border>
    <border>
      <left style="thin">
        <color indexed="64"/>
      </left>
      <right style="thin">
        <color rgb="FF92D050"/>
      </right>
      <top style="thin">
        <color rgb="FF92D050"/>
      </top>
      <bottom style="thin">
        <color indexed="64"/>
      </bottom>
      <diagonal/>
    </border>
    <border>
      <left style="thin">
        <color rgb="FF92D050"/>
      </left>
      <right style="thin">
        <color indexed="64"/>
      </right>
      <top style="thin">
        <color indexed="64"/>
      </top>
      <bottom style="thin">
        <color indexed="64"/>
      </bottom>
      <diagonal/>
    </border>
    <border>
      <left style="thin">
        <color indexed="64"/>
      </left>
      <right style="thin">
        <color rgb="FF92D050"/>
      </right>
      <top style="thin">
        <color indexed="64"/>
      </top>
      <bottom style="thin">
        <color indexed="64"/>
      </bottom>
      <diagonal/>
    </border>
    <border>
      <left style="thin">
        <color rgb="FF92D050"/>
      </left>
      <right style="thin">
        <color indexed="64"/>
      </right>
      <top style="thin">
        <color indexed="64"/>
      </top>
      <bottom style="thin">
        <color rgb="FF92D050"/>
      </bottom>
      <diagonal/>
    </border>
    <border>
      <left style="thin">
        <color indexed="64"/>
      </left>
      <right style="thin">
        <color indexed="64"/>
      </right>
      <top style="thin">
        <color indexed="64"/>
      </top>
      <bottom style="thin">
        <color rgb="FF92D050"/>
      </bottom>
      <diagonal/>
    </border>
    <border>
      <left style="thin">
        <color indexed="64"/>
      </left>
      <right style="thin">
        <color rgb="FF92D050"/>
      </right>
      <top style="thin">
        <color indexed="64"/>
      </top>
      <bottom style="thin">
        <color rgb="FF92D05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top style="thin">
        <color theme="0"/>
      </top>
      <bottom/>
      <diagonal/>
    </border>
  </borders>
  <cellStyleXfs count="10">
    <xf numFmtId="0" fontId="0" fillId="0" borderId="0"/>
    <xf numFmtId="0" fontId="18" fillId="2" borderId="0" applyNumberFormat="0" applyBorder="0" applyAlignment="0" applyProtection="0"/>
    <xf numFmtId="0" fontId="20" fillId="0" borderId="0" applyNumberFormat="0" applyFill="0" applyBorder="0" applyAlignment="0" applyProtection="0">
      <alignment vertical="top"/>
      <protection locked="0"/>
    </xf>
    <xf numFmtId="164" fontId="16" fillId="0" borderId="0" applyFont="0" applyFill="0" applyBorder="0" applyAlignment="0" applyProtection="0"/>
    <xf numFmtId="0" fontId="37" fillId="5" borderId="16">
      <alignment horizontal="center"/>
    </xf>
    <xf numFmtId="0" fontId="37" fillId="11" borderId="16">
      <alignment horizontal="center"/>
    </xf>
    <xf numFmtId="0" fontId="37" fillId="10" borderId="16">
      <alignment horizontal="center"/>
    </xf>
    <xf numFmtId="0" fontId="49" fillId="14" borderId="0" applyNumberFormat="0" applyBorder="0" applyAlignment="0" applyProtection="0"/>
    <xf numFmtId="0" fontId="18" fillId="16" borderId="0" applyNumberFormat="0" applyBorder="0" applyAlignment="0" applyProtection="0"/>
    <xf numFmtId="0" fontId="51" fillId="15" borderId="0">
      <alignment horizontal="center" vertical="center" wrapText="1"/>
    </xf>
  </cellStyleXfs>
  <cellXfs count="236">
    <xf numFmtId="0" fontId="0" fillId="0" borderId="0" xfId="0"/>
    <xf numFmtId="0" fontId="22" fillId="3" borderId="0"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Font="1" applyBorder="1" applyAlignment="1" applyProtection="1">
      <alignment vertical="center" wrapText="1"/>
      <protection locked="0"/>
    </xf>
    <xf numFmtId="0" fontId="22" fillId="0" borderId="0" xfId="0" applyFont="1" applyAlignment="1" applyProtection="1">
      <alignment horizontal="center" vertical="center" wrapText="1"/>
      <protection locked="0"/>
    </xf>
    <xf numFmtId="0" fontId="17" fillId="0" borderId="0" xfId="0" applyFont="1" applyAlignment="1">
      <alignment horizontal="left" vertical="center" wrapText="1"/>
    </xf>
    <xf numFmtId="0" fontId="0" fillId="0" borderId="0" xfId="0" applyProtection="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2" fontId="16" fillId="0" borderId="1" xfId="3" applyNumberFormat="1" applyFont="1" applyBorder="1" applyAlignment="1" applyProtection="1">
      <alignment horizontal="center" vertical="center" wrapText="1"/>
      <protection locked="0"/>
    </xf>
    <xf numFmtId="2" fontId="22" fillId="0" borderId="1" xfId="3" applyNumberFormat="1" applyFont="1" applyFill="1" applyBorder="1" applyAlignment="1" applyProtection="1">
      <alignment horizontal="center" vertical="center" wrapText="1"/>
    </xf>
    <xf numFmtId="0" fontId="0" fillId="0" borderId="1" xfId="0" applyFont="1" applyFill="1"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vertical="center" wrapText="1"/>
      <protection locked="0"/>
    </xf>
    <xf numFmtId="0" fontId="22" fillId="0" borderId="2" xfId="0" applyFont="1" applyBorder="1" applyAlignment="1" applyProtection="1">
      <alignment vertical="center" wrapText="1"/>
      <protection locked="0"/>
    </xf>
    <xf numFmtId="0" fontId="0" fillId="0" borderId="0" xfId="0" applyAlignment="1" applyProtection="1">
      <alignment horizontal="center" vertical="center" wrapText="1"/>
      <protection locked="0"/>
    </xf>
    <xf numFmtId="0" fontId="2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4" borderId="0" xfId="0" applyFill="1"/>
    <xf numFmtId="0" fontId="24" fillId="0" borderId="0" xfId="0" applyFont="1" applyAlignment="1">
      <alignment horizontal="center"/>
    </xf>
    <xf numFmtId="0" fontId="0" fillId="0" borderId="13" xfId="0" applyBorder="1"/>
    <xf numFmtId="0" fontId="25" fillId="4" borderId="0" xfId="0" applyFont="1" applyFill="1" applyProtection="1">
      <protection locked="0"/>
    </xf>
    <xf numFmtId="0" fontId="26" fillId="5" borderId="5" xfId="0" applyFont="1" applyFill="1" applyBorder="1" applyAlignment="1" applyProtection="1">
      <alignment horizontal="center"/>
      <protection locked="0"/>
    </xf>
    <xf numFmtId="0" fontId="26" fillId="5" borderId="5" xfId="0" applyFont="1" applyFill="1" applyBorder="1" applyAlignment="1" applyProtection="1">
      <alignment horizontal="center" wrapText="1"/>
      <protection locked="0"/>
    </xf>
    <xf numFmtId="0" fontId="26" fillId="4" borderId="5" xfId="0" applyFont="1" applyFill="1" applyBorder="1" applyAlignment="1" applyProtection="1">
      <alignment horizontal="center"/>
      <protection locked="0"/>
    </xf>
    <xf numFmtId="0" fontId="27" fillId="4" borderId="5" xfId="0" applyFont="1" applyFill="1" applyBorder="1" applyAlignment="1" applyProtection="1">
      <alignment horizontal="center"/>
      <protection locked="0"/>
    </xf>
    <xf numFmtId="0" fontId="26" fillId="4" borderId="5" xfId="0" applyFont="1" applyFill="1" applyBorder="1" applyAlignment="1" applyProtection="1">
      <alignment horizontal="center" wrapText="1"/>
      <protection locked="0"/>
    </xf>
    <xf numFmtId="0" fontId="0" fillId="4" borderId="0" xfId="0" applyFont="1" applyFill="1" applyProtection="1">
      <protection locked="0"/>
    </xf>
    <xf numFmtId="0" fontId="0" fillId="4" borderId="0" xfId="0" applyFont="1" applyFill="1" applyBorder="1" applyProtection="1">
      <protection locked="0"/>
    </xf>
    <xf numFmtId="0" fontId="26" fillId="4" borderId="0" xfId="0" applyFont="1" applyFill="1" applyBorder="1" applyAlignment="1" applyProtection="1">
      <alignment horizontal="center"/>
      <protection locked="0"/>
    </xf>
    <xf numFmtId="0" fontId="27" fillId="4" borderId="0" xfId="0" applyFont="1" applyFill="1" applyBorder="1" applyAlignment="1" applyProtection="1">
      <alignment horizontal="center"/>
      <protection locked="0"/>
    </xf>
    <xf numFmtId="0" fontId="0" fillId="6" borderId="0" xfId="0" applyFont="1" applyFill="1" applyProtection="1">
      <protection locked="0"/>
    </xf>
    <xf numFmtId="0" fontId="0" fillId="4" borderId="0" xfId="0" applyFont="1" applyFill="1" applyProtection="1"/>
    <xf numFmtId="0" fontId="0" fillId="4" borderId="0" xfId="0" applyFont="1" applyFill="1" applyBorder="1" applyProtection="1"/>
    <xf numFmtId="0" fontId="0" fillId="4" borderId="0" xfId="0" applyFont="1" applyFill="1" applyAlignment="1" applyProtection="1">
      <alignment horizontal="center"/>
    </xf>
    <xf numFmtId="0" fontId="0" fillId="4" borderId="0" xfId="0" applyFont="1" applyFill="1" applyBorder="1" applyAlignment="1" applyProtection="1">
      <alignment horizontal="center"/>
    </xf>
    <xf numFmtId="0" fontId="0" fillId="4" borderId="5"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0" fillId="6" borderId="0" xfId="0" applyFont="1" applyFill="1" applyProtection="1"/>
    <xf numFmtId="0" fontId="21" fillId="6" borderId="0" xfId="0" applyFont="1" applyFill="1" applyAlignment="1" applyProtection="1">
      <alignment horizontal="right"/>
    </xf>
    <xf numFmtId="0" fontId="21" fillId="5" borderId="5" xfId="0" applyFont="1" applyFill="1" applyBorder="1" applyAlignment="1" applyProtection="1">
      <alignment horizontal="center"/>
    </xf>
    <xf numFmtId="0" fontId="22" fillId="4" borderId="5" xfId="0" applyFont="1" applyFill="1" applyBorder="1" applyAlignment="1" applyProtection="1">
      <alignment horizontal="center" vertical="center" wrapText="1"/>
    </xf>
    <xf numFmtId="0" fontId="0" fillId="0" borderId="5" xfId="0" applyBorder="1" applyAlignment="1" applyProtection="1">
      <alignment vertical="center" wrapText="1"/>
      <protection locked="0"/>
    </xf>
    <xf numFmtId="0" fontId="21" fillId="5" borderId="6" xfId="0" applyFont="1" applyFill="1" applyBorder="1" applyAlignment="1" applyProtection="1"/>
    <xf numFmtId="0" fontId="21" fillId="0" borderId="7" xfId="0" applyFont="1" applyFill="1" applyBorder="1" applyAlignment="1" applyProtection="1"/>
    <xf numFmtId="0" fontId="0" fillId="0" borderId="5" xfId="0" quotePrefix="1" applyBorder="1" applyAlignment="1" applyProtection="1">
      <alignment horizontal="center" vertical="center" wrapText="1"/>
      <protection locked="0"/>
    </xf>
    <xf numFmtId="0" fontId="21" fillId="5" borderId="5" xfId="0" applyFont="1" applyFill="1" applyBorder="1" applyAlignment="1" applyProtection="1">
      <alignment vertical="center"/>
    </xf>
    <xf numFmtId="0" fontId="21" fillId="5" borderId="5" xfId="0" applyFont="1" applyFill="1" applyBorder="1" applyAlignment="1" applyProtection="1">
      <alignment horizontal="center" vertical="center" wrapText="1"/>
    </xf>
    <xf numFmtId="0" fontId="0" fillId="0" borderId="5" xfId="0" applyBorder="1"/>
    <xf numFmtId="0" fontId="22" fillId="0" borderId="0" xfId="0" applyFont="1" applyAlignment="1" applyProtection="1">
      <alignment vertical="center" wrapText="1"/>
      <protection locked="0"/>
    </xf>
    <xf numFmtId="0" fontId="12" fillId="4" borderId="4" xfId="0" applyFont="1" applyFill="1" applyBorder="1" applyAlignment="1">
      <alignment horizontal="left" wrapText="1"/>
    </xf>
    <xf numFmtId="0" fontId="0" fillId="4" borderId="2" xfId="0" applyNumberFormat="1" applyFill="1" applyBorder="1" applyAlignment="1">
      <alignment horizontal="center" wrapText="1"/>
    </xf>
    <xf numFmtId="0" fontId="0" fillId="4" borderId="2" xfId="0" applyFill="1" applyBorder="1" applyAlignment="1">
      <alignment horizontal="center" wrapText="1"/>
    </xf>
    <xf numFmtId="0" fontId="0" fillId="4" borderId="4" xfId="0" applyFill="1" applyBorder="1"/>
    <xf numFmtId="0" fontId="0" fillId="4" borderId="2" xfId="0" applyFill="1" applyBorder="1" applyAlignment="1">
      <alignment horizontal="center" vertical="center"/>
    </xf>
    <xf numFmtId="0" fontId="0" fillId="4" borderId="8" xfId="0" applyFill="1" applyBorder="1"/>
    <xf numFmtId="0" fontId="0" fillId="4" borderId="9" xfId="0" applyFill="1" applyBorder="1" applyAlignment="1">
      <alignment horizontal="center" vertical="center"/>
    </xf>
    <xf numFmtId="0" fontId="28" fillId="7" borderId="10"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2" fillId="4" borderId="0" xfId="0" applyFont="1" applyFill="1" applyAlignment="1" applyProtection="1">
      <alignment horizontal="center"/>
    </xf>
    <xf numFmtId="0" fontId="29" fillId="0" borderId="0" xfId="0" applyFont="1" applyAlignment="1" applyProtection="1">
      <alignment vertical="center" wrapText="1"/>
      <protection locked="0"/>
    </xf>
    <xf numFmtId="0" fontId="22" fillId="0" borderId="1" xfId="0" applyFont="1" applyFill="1" applyBorder="1" applyAlignment="1" applyProtection="1">
      <alignment horizontal="center" vertical="center" wrapText="1"/>
      <protection locked="0"/>
    </xf>
    <xf numFmtId="0" fontId="23" fillId="0" borderId="0" xfId="0" applyFont="1" applyAlignment="1" applyProtection="1">
      <alignment vertical="center" wrapText="1"/>
      <protection locked="0"/>
    </xf>
    <xf numFmtId="0" fontId="0" fillId="0" borderId="14" xfId="0"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22" fillId="0" borderId="0" xfId="0" applyFont="1"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30" fillId="0" borderId="0" xfId="0" applyFont="1" applyBorder="1" applyAlignment="1" applyProtection="1">
      <alignment vertical="center" wrapText="1"/>
      <protection locked="0"/>
    </xf>
    <xf numFmtId="0" fontId="0" fillId="4" borderId="0" xfId="0" applyFill="1" applyAlignment="1" applyProtection="1">
      <alignment vertical="center" wrapText="1"/>
    </xf>
    <xf numFmtId="0" fontId="31" fillId="0" borderId="0" xfId="0" applyFont="1" applyAlignment="1" applyProtection="1">
      <alignment horizontal="center"/>
    </xf>
    <xf numFmtId="0" fontId="0" fillId="0" borderId="0" xfId="0" applyAlignment="1" applyProtection="1">
      <alignment vertical="center" wrapText="1"/>
    </xf>
    <xf numFmtId="0" fontId="32" fillId="4" borderId="0" xfId="0" applyFont="1" applyFill="1" applyAlignment="1" applyProtection="1">
      <alignment vertical="center" wrapText="1"/>
    </xf>
    <xf numFmtId="0" fontId="33" fillId="4" borderId="0" xfId="0" applyFont="1" applyFill="1" applyAlignment="1" applyProtection="1">
      <alignment vertical="center" wrapText="1"/>
    </xf>
    <xf numFmtId="0" fontId="22" fillId="0" borderId="0" xfId="0" applyFont="1" applyFill="1" applyAlignment="1" applyProtection="1">
      <alignment vertical="center" wrapText="1"/>
      <protection locked="0"/>
    </xf>
    <xf numFmtId="0" fontId="34" fillId="0" borderId="0" xfId="0" applyFont="1"/>
    <xf numFmtId="0" fontId="22" fillId="0" borderId="0" xfId="0" applyFont="1"/>
    <xf numFmtId="0" fontId="0" fillId="0" borderId="12" xfId="0" applyBorder="1" applyAlignment="1" applyProtection="1">
      <alignment vertical="center" wrapText="1"/>
      <protection locked="0"/>
    </xf>
    <xf numFmtId="0" fontId="22" fillId="0" borderId="0" xfId="0" applyFont="1" applyAlignment="1" applyProtection="1">
      <alignment vertical="center"/>
      <protection locked="0"/>
    </xf>
    <xf numFmtId="0" fontId="22" fillId="0" borderId="1"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2" fillId="0" borderId="0" xfId="0" applyFont="1" applyAlignment="1" applyProtection="1">
      <alignment horizontal="center" vertical="center" wrapText="1"/>
      <protection locked="0"/>
    </xf>
    <xf numFmtId="0" fontId="35" fillId="0" borderId="0" xfId="0" applyFont="1" applyBorder="1" applyAlignment="1" applyProtection="1">
      <alignment vertical="center" wrapText="1"/>
      <protection locked="0"/>
    </xf>
    <xf numFmtId="164" fontId="16" fillId="0" borderId="0" xfId="3" applyFont="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36" fillId="0" borderId="0" xfId="0" applyFont="1" applyFill="1" applyBorder="1" applyAlignment="1" applyProtection="1">
      <alignment horizontal="center" vertical="center" wrapText="1"/>
      <protection locked="0"/>
    </xf>
    <xf numFmtId="1" fontId="16" fillId="0" borderId="1" xfId="3" applyNumberFormat="1" applyFont="1" applyBorder="1" applyAlignment="1" applyProtection="1">
      <alignment horizontal="center" vertical="center" wrapText="1"/>
    </xf>
    <xf numFmtId="1" fontId="0" fillId="0" borderId="1" xfId="0" applyNumberFormat="1" applyBorder="1" applyAlignment="1" applyProtection="1">
      <alignment horizontal="center" vertical="center" wrapText="1"/>
    </xf>
    <xf numFmtId="1" fontId="0" fillId="0" borderId="0" xfId="0" applyNumberFormat="1" applyBorder="1" applyAlignment="1" applyProtection="1">
      <alignment horizontal="center" vertical="center" wrapText="1"/>
    </xf>
    <xf numFmtId="0" fontId="15" fillId="0" borderId="1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2" fontId="0" fillId="0" borderId="0" xfId="0" applyNumberFormat="1" applyBorder="1" applyAlignment="1" applyProtection="1">
      <alignment vertical="center" wrapText="1"/>
      <protection locked="0"/>
    </xf>
    <xf numFmtId="0" fontId="0" fillId="0" borderId="12" xfId="0" applyBorder="1" applyAlignment="1" applyProtection="1">
      <alignment horizontal="left" vertical="center" wrapText="1"/>
      <protection locked="0"/>
    </xf>
    <xf numFmtId="0" fontId="30" fillId="8" borderId="0" xfId="0" applyFont="1" applyFill="1" applyBorder="1" applyAlignment="1" applyProtection="1">
      <alignment vertical="center" wrapText="1"/>
      <protection locked="0"/>
    </xf>
    <xf numFmtId="0" fontId="22" fillId="0" borderId="0" xfId="0" applyFont="1" applyAlignment="1" applyProtection="1">
      <alignment horizontal="center" vertical="center" wrapText="1"/>
      <protection locked="0"/>
    </xf>
    <xf numFmtId="165" fontId="0" fillId="0" borderId="1" xfId="0" applyNumberFormat="1" applyBorder="1" applyAlignment="1" applyProtection="1">
      <alignment horizontal="center" vertical="center" wrapText="1"/>
    </xf>
    <xf numFmtId="2" fontId="0" fillId="0" borderId="1" xfId="3" quotePrefix="1" applyNumberFormat="1" applyFont="1" applyBorder="1" applyAlignment="1" applyProtection="1">
      <alignment horizontal="center" vertical="center" wrapText="1"/>
      <protection locked="0"/>
    </xf>
    <xf numFmtId="0" fontId="22" fillId="7" borderId="0" xfId="0" applyFont="1" applyFill="1" applyBorder="1" applyAlignment="1" applyProtection="1">
      <alignment horizontal="center" vertical="center" wrapText="1"/>
      <protection locked="0"/>
    </xf>
    <xf numFmtId="0" fontId="30" fillId="7" borderId="0" xfId="0" applyFont="1" applyFill="1" applyBorder="1" applyAlignment="1" applyProtection="1">
      <alignment vertical="center" wrapText="1"/>
      <protection locked="0"/>
    </xf>
    <xf numFmtId="0" fontId="22" fillId="7" borderId="0" xfId="0" applyFont="1" applyFill="1" applyBorder="1" applyAlignment="1" applyProtection="1">
      <alignment vertical="center" wrapText="1"/>
      <protection locked="0"/>
    </xf>
    <xf numFmtId="166" fontId="16" fillId="0" borderId="1" xfId="3" applyNumberFormat="1" applyFont="1" applyBorder="1" applyAlignment="1" applyProtection="1">
      <alignment horizontal="center" vertical="center" wrapText="1"/>
      <protection locked="0"/>
    </xf>
    <xf numFmtId="167" fontId="16" fillId="0" borderId="1" xfId="3" applyNumberFormat="1" applyFont="1" applyBorder="1" applyAlignment="1" applyProtection="1">
      <alignment horizontal="center" vertical="center" wrapText="1"/>
      <protection locked="0"/>
    </xf>
    <xf numFmtId="0" fontId="45" fillId="0" borderId="12"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4" fillId="0" borderId="0" xfId="0" applyFont="1" applyAlignment="1">
      <alignment horizontal="center"/>
    </xf>
    <xf numFmtId="0" fontId="0" fillId="4" borderId="2" xfId="0" applyNumberFormat="1" applyFill="1" applyBorder="1" applyAlignment="1">
      <alignment horizontal="center" vertical="center"/>
    </xf>
    <xf numFmtId="2" fontId="34" fillId="0" borderId="0" xfId="3" applyNumberFormat="1" applyFont="1" applyFill="1" applyBorder="1" applyAlignment="1" applyProtection="1">
      <alignment horizontal="center" vertical="center" wrapText="1"/>
    </xf>
    <xf numFmtId="0" fontId="46" fillId="0" borderId="0" xfId="0" applyFont="1"/>
    <xf numFmtId="0" fontId="34" fillId="0" borderId="17" xfId="0" applyFont="1" applyBorder="1"/>
    <xf numFmtId="0" fontId="0" fillId="0" borderId="17" xfId="0" applyBorder="1"/>
    <xf numFmtId="0" fontId="0" fillId="0" borderId="0" xfId="0" applyFont="1" applyAlignment="1">
      <alignment horizontal="center" vertical="center"/>
    </xf>
    <xf numFmtId="0" fontId="46" fillId="0" borderId="0" xfId="0" applyFont="1" applyAlignment="1" applyProtection="1">
      <alignment vertical="center"/>
      <protection locked="0"/>
    </xf>
    <xf numFmtId="0" fontId="46" fillId="0" borderId="0" xfId="0" applyFont="1" applyFill="1" applyAlignment="1" applyProtection="1">
      <alignment vertical="center" wrapText="1"/>
      <protection locked="0"/>
    </xf>
    <xf numFmtId="0" fontId="47" fillId="0" borderId="0" xfId="0" applyFont="1" applyBorder="1" applyAlignment="1" applyProtection="1">
      <alignment vertical="center" wrapText="1"/>
      <protection locked="0"/>
    </xf>
    <xf numFmtId="0" fontId="47" fillId="0" borderId="0" xfId="0" applyFont="1" applyProtection="1">
      <protection locked="0"/>
    </xf>
    <xf numFmtId="0" fontId="47" fillId="0" borderId="0" xfId="0" applyFont="1" applyAlignment="1" applyProtection="1">
      <alignment vertical="center" wrapText="1"/>
      <protection locked="0"/>
    </xf>
    <xf numFmtId="165" fontId="0" fillId="0" borderId="0" xfId="0" applyNumberFormat="1"/>
    <xf numFmtId="0" fontId="0" fillId="0" borderId="0" xfId="0" applyAlignment="1">
      <alignment horizontal="center" wrapText="1"/>
    </xf>
    <xf numFmtId="0" fontId="0"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29" fillId="4" borderId="0" xfId="0" applyFont="1" applyFill="1" applyAlignment="1" applyProtection="1">
      <alignment horizontal="center"/>
    </xf>
    <xf numFmtId="0" fontId="34" fillId="0" borderId="0" xfId="0" applyFont="1" applyAlignment="1">
      <alignment horizontal="center"/>
    </xf>
    <xf numFmtId="0" fontId="47" fillId="0" borderId="0" xfId="0" applyFont="1" applyAlignment="1" applyProtection="1">
      <alignment horizontal="center" vertical="center" wrapText="1"/>
      <protection locked="0"/>
    </xf>
    <xf numFmtId="0" fontId="21" fillId="5" borderId="5" xfId="0" applyFont="1" applyFill="1" applyBorder="1" applyAlignment="1" applyProtection="1">
      <alignment horizontal="center" vertical="center"/>
    </xf>
    <xf numFmtId="0" fontId="0" fillId="4" borderId="5" xfId="0" applyFill="1" applyBorder="1" applyAlignment="1" applyProtection="1">
      <alignment horizontal="center" vertical="center" wrapText="1"/>
    </xf>
    <xf numFmtId="0" fontId="52" fillId="0" borderId="0" xfId="0" applyFont="1" applyAlignment="1" applyProtection="1">
      <alignment horizontal="center" vertical="center" wrapText="1"/>
      <protection locked="0"/>
    </xf>
    <xf numFmtId="0" fontId="53" fillId="11" borderId="18" xfId="5" applyFont="1" applyBorder="1" applyAlignment="1">
      <alignment horizontal="center" vertical="center"/>
    </xf>
    <xf numFmtId="0" fontId="8" fillId="4" borderId="5" xfId="5" applyFont="1" applyFill="1" applyBorder="1">
      <alignment horizontal="center"/>
    </xf>
    <xf numFmtId="0" fontId="8" fillId="4" borderId="5" xfId="5" applyFont="1" applyFill="1" applyBorder="1" applyProtection="1">
      <alignment horizontal="center"/>
      <protection locked="0"/>
    </xf>
    <xf numFmtId="2" fontId="0" fillId="0" borderId="1" xfId="3" applyNumberFormat="1" applyFont="1" applyBorder="1" applyAlignment="1" applyProtection="1">
      <alignment horizontal="center" vertical="center" wrapText="1"/>
      <protection locked="0"/>
    </xf>
    <xf numFmtId="0" fontId="55" fillId="0" borderId="0" xfId="0" applyFont="1" applyBorder="1" applyAlignment="1" applyProtection="1">
      <alignment horizontal="center" vertical="center" wrapText="1"/>
      <protection locked="0"/>
    </xf>
    <xf numFmtId="0" fontId="0" fillId="0" borderId="0" xfId="0" applyAlignment="1" applyProtection="1">
      <alignment horizontal="center" vertical="center" wrapText="1"/>
    </xf>
    <xf numFmtId="0" fontId="0" fillId="0" borderId="12" xfId="0" applyBorder="1" applyProtection="1">
      <protection locked="0"/>
    </xf>
    <xf numFmtId="0" fontId="21" fillId="5" borderId="7" xfId="0" applyFont="1" applyFill="1" applyBorder="1" applyAlignment="1" applyProtection="1">
      <alignment horizontal="center"/>
    </xf>
    <xf numFmtId="0" fontId="0" fillId="4" borderId="8" xfId="0" applyFill="1" applyBorder="1" applyAlignment="1" applyProtection="1">
      <alignment horizontal="center" vertical="center" wrapText="1"/>
    </xf>
    <xf numFmtId="0" fontId="0" fillId="4" borderId="19" xfId="0" applyFill="1" applyBorder="1" applyAlignment="1" applyProtection="1">
      <alignment horizontal="center" vertical="center" wrapText="1"/>
    </xf>
    <xf numFmtId="0" fontId="0" fillId="4" borderId="2" xfId="0" applyFont="1" applyFill="1" applyBorder="1" applyAlignment="1" applyProtection="1">
      <alignment horizontal="center" vertical="center" wrapText="1"/>
    </xf>
    <xf numFmtId="0" fontId="21" fillId="5" borderId="10" xfId="0" applyFont="1" applyFill="1" applyBorder="1" applyAlignment="1" applyProtection="1">
      <alignment horizontal="center"/>
    </xf>
    <xf numFmtId="0" fontId="21" fillId="5" borderId="11" xfId="0" applyFont="1" applyFill="1" applyBorder="1" applyAlignment="1" applyProtection="1">
      <alignment horizontal="center"/>
    </xf>
    <xf numFmtId="0" fontId="0" fillId="4" borderId="6" xfId="0" applyFont="1" applyFill="1" applyBorder="1" applyAlignment="1" applyProtection="1">
      <alignment horizontal="center" vertical="center" wrapText="1"/>
    </xf>
    <xf numFmtId="0" fontId="0" fillId="4" borderId="9" xfId="0" applyFont="1" applyFill="1" applyBorder="1" applyAlignment="1" applyProtection="1">
      <alignment horizontal="center" vertical="center" wrapText="1"/>
    </xf>
    <xf numFmtId="165" fontId="8" fillId="0" borderId="12"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165" fontId="0" fillId="0" borderId="0" xfId="0" applyNumberFormat="1" applyBorder="1" applyAlignment="1" applyProtection="1">
      <alignment horizontal="center" vertical="center" wrapText="1"/>
    </xf>
    <xf numFmtId="165" fontId="0" fillId="0" borderId="12" xfId="0" applyNumberFormat="1" applyBorder="1" applyAlignment="1" applyProtection="1">
      <alignment horizontal="center" vertical="center" wrapText="1"/>
    </xf>
    <xf numFmtId="0" fontId="0" fillId="0" borderId="12" xfId="0" applyBorder="1" applyAlignment="1" applyProtection="1">
      <alignment horizontal="center" vertical="center" wrapText="1"/>
    </xf>
    <xf numFmtId="0" fontId="36"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1" fillId="4" borderId="19"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protection locked="0"/>
    </xf>
    <xf numFmtId="0" fontId="56" fillId="0" borderId="0" xfId="0" applyFont="1" applyBorder="1" applyAlignment="1" applyProtection="1">
      <alignment vertical="center" wrapText="1"/>
      <protection locked="0"/>
    </xf>
    <xf numFmtId="0" fontId="1" fillId="0" borderId="0" xfId="0" applyFont="1"/>
    <xf numFmtId="0" fontId="57" fillId="0" borderId="0" xfId="0" applyFont="1"/>
    <xf numFmtId="0" fontId="57" fillId="0" borderId="0" xfId="0" applyFont="1" applyAlignment="1" applyProtection="1">
      <alignment vertical="center" wrapText="1"/>
      <protection locked="0"/>
    </xf>
    <xf numFmtId="0" fontId="0" fillId="0" borderId="30" xfId="0" applyBorder="1"/>
    <xf numFmtId="0" fontId="58" fillId="0" borderId="0" xfId="0" applyFont="1"/>
    <xf numFmtId="0" fontId="59" fillId="0" borderId="0" xfId="0" applyFont="1"/>
    <xf numFmtId="0" fontId="56" fillId="15" borderId="20" xfId="9" applyFont="1" applyBorder="1">
      <alignment horizontal="center" vertical="center" wrapText="1"/>
    </xf>
    <xf numFmtId="0" fontId="56" fillId="15" borderId="21" xfId="9" applyFont="1" applyBorder="1">
      <alignment horizontal="center" vertical="center" wrapText="1"/>
    </xf>
    <xf numFmtId="0" fontId="56" fillId="15" borderId="22" xfId="9" applyFont="1" applyBorder="1">
      <alignment horizontal="center" vertical="center" wrapText="1"/>
    </xf>
    <xf numFmtId="0" fontId="56" fillId="15" borderId="23" xfId="9" applyFont="1" applyBorder="1">
      <alignment horizontal="center" vertical="center" wrapText="1"/>
    </xf>
    <xf numFmtId="0" fontId="56" fillId="15" borderId="5" xfId="9" applyFont="1" applyBorder="1">
      <alignment horizontal="center" vertical="center" wrapText="1"/>
    </xf>
    <xf numFmtId="0" fontId="56" fillId="15" borderId="24" xfId="9" applyFont="1" applyBorder="1">
      <alignment horizontal="center" vertical="center" wrapText="1"/>
    </xf>
    <xf numFmtId="0" fontId="56" fillId="15" borderId="25" xfId="9" applyFont="1" applyBorder="1">
      <alignment horizontal="center" vertical="center" wrapText="1"/>
    </xf>
    <xf numFmtId="0" fontId="56" fillId="15" borderId="26" xfId="9" applyFont="1" applyBorder="1">
      <alignment horizontal="center" vertical="center" wrapText="1"/>
    </xf>
    <xf numFmtId="0" fontId="56" fillId="15" borderId="27" xfId="9" applyFont="1" applyBorder="1">
      <alignment horizontal="center" vertical="center" wrapText="1"/>
    </xf>
    <xf numFmtId="0" fontId="37" fillId="10" borderId="16" xfId="6">
      <alignment horizontal="center"/>
    </xf>
    <xf numFmtId="0" fontId="24" fillId="0" borderId="0" xfId="0" applyFont="1" applyAlignment="1">
      <alignment horizontal="center"/>
    </xf>
    <xf numFmtId="0" fontId="57" fillId="16" borderId="28" xfId="8" applyFont="1" applyBorder="1" applyAlignment="1" applyProtection="1">
      <alignment horizontal="center" vertical="center"/>
    </xf>
    <xf numFmtId="0" fontId="57" fillId="16" borderId="29" xfId="8" applyFont="1" applyBorder="1" applyAlignment="1" applyProtection="1">
      <alignment horizontal="center" vertical="center"/>
    </xf>
    <xf numFmtId="0" fontId="37" fillId="11" borderId="16" xfId="5">
      <alignment horizontal="center"/>
    </xf>
    <xf numFmtId="0" fontId="37" fillId="5" borderId="16" xfId="4">
      <alignment horizontal="center"/>
    </xf>
    <xf numFmtId="0" fontId="37" fillId="5" borderId="16" xfId="4" applyAlignment="1">
      <alignment horizontal="center" vertical="center"/>
    </xf>
    <xf numFmtId="0" fontId="37" fillId="18" borderId="16" xfId="7" applyFont="1" applyFill="1" applyBorder="1" applyAlignment="1">
      <alignment horizontal="center"/>
    </xf>
    <xf numFmtId="0" fontId="38" fillId="6" borderId="0"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protection locked="0"/>
    </xf>
    <xf numFmtId="0" fontId="0" fillId="4" borderId="0" xfId="0" applyFill="1" applyBorder="1" applyAlignment="1" applyProtection="1">
      <alignment horizontal="center" vertical="center" wrapText="1"/>
    </xf>
    <xf numFmtId="0" fontId="39" fillId="4" borderId="0" xfId="0" applyFont="1" applyFill="1" applyAlignment="1" applyProtection="1">
      <alignment horizontal="center" vertical="center" wrapText="1"/>
    </xf>
    <xf numFmtId="0" fontId="40" fillId="6" borderId="0" xfId="0" applyFont="1" applyFill="1" applyBorder="1" applyAlignment="1" applyProtection="1">
      <alignment horizontal="left" vertical="center" wrapText="1"/>
    </xf>
    <xf numFmtId="0" fontId="40" fillId="6" borderId="0" xfId="0" applyFont="1" applyFill="1" applyBorder="1" applyAlignment="1" applyProtection="1">
      <alignment horizontal="left" vertical="center"/>
      <protection locked="0"/>
    </xf>
    <xf numFmtId="0" fontId="57" fillId="15" borderId="0" xfId="2" applyFont="1" applyFill="1" applyAlignment="1" applyProtection="1">
      <alignment horizontal="center" vertical="center" wrapText="1"/>
    </xf>
    <xf numFmtId="0" fontId="25" fillId="6" borderId="0" xfId="0" applyFont="1" applyFill="1" applyBorder="1" applyAlignment="1" applyProtection="1">
      <alignment horizontal="center" vertical="center" wrapText="1"/>
      <protection locked="0"/>
    </xf>
    <xf numFmtId="0" fontId="17" fillId="12" borderId="0" xfId="0" applyFont="1" applyFill="1" applyAlignment="1">
      <alignment horizontal="center"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3" fillId="0" borderId="0" xfId="0" applyFont="1" applyAlignment="1">
      <alignment horizontal="left" vertical="center" wrapText="1"/>
    </xf>
    <xf numFmtId="0" fontId="0" fillId="6" borderId="0" xfId="0" applyFill="1" applyAlignment="1" applyProtection="1">
      <alignment horizontal="center" vertical="center" wrapText="1"/>
    </xf>
    <xf numFmtId="0" fontId="42" fillId="13" borderId="0" xfId="0" applyFont="1" applyFill="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4" borderId="0" xfId="0" applyFont="1" applyFill="1" applyAlignment="1" applyProtection="1">
      <alignment horizontal="center"/>
    </xf>
    <xf numFmtId="0" fontId="0" fillId="6" borderId="0" xfId="0" applyFont="1" applyFill="1" applyAlignment="1" applyProtection="1">
      <alignment horizontal="left"/>
      <protection locked="0"/>
    </xf>
    <xf numFmtId="0" fontId="26" fillId="5" borderId="2" xfId="0"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0" fontId="26" fillId="5" borderId="4" xfId="0" applyFont="1" applyFill="1" applyBorder="1" applyAlignment="1" applyProtection="1">
      <alignment horizontal="center" vertical="center"/>
      <protection locked="0"/>
    </xf>
    <xf numFmtId="0" fontId="0" fillId="6" borderId="0" xfId="0" applyFill="1" applyAlignment="1" applyProtection="1">
      <alignment horizontal="left"/>
    </xf>
    <xf numFmtId="0" fontId="0" fillId="6" borderId="0" xfId="0" applyFont="1" applyFill="1" applyAlignment="1" applyProtection="1">
      <alignment horizontal="left"/>
    </xf>
    <xf numFmtId="0" fontId="41" fillId="4" borderId="0" xfId="0" applyFont="1" applyFill="1" applyAlignment="1">
      <alignment horizontal="left"/>
    </xf>
    <xf numFmtId="0" fontId="19" fillId="2" borderId="1" xfId="1" applyFont="1" applyBorder="1" applyAlignment="1" applyProtection="1">
      <alignment horizontal="center" vertical="center" wrapText="1"/>
      <protection locked="0"/>
    </xf>
    <xf numFmtId="0" fontId="20" fillId="6" borderId="0" xfId="2" applyFill="1" applyAlignment="1" applyProtection="1">
      <alignment horizontal="left"/>
    </xf>
    <xf numFmtId="0" fontId="21" fillId="5" borderId="2" xfId="0" applyFont="1" applyFill="1" applyBorder="1" applyAlignment="1" applyProtection="1">
      <alignment horizontal="center"/>
    </xf>
    <xf numFmtId="0" fontId="21" fillId="5" borderId="4" xfId="0" applyFont="1" applyFill="1" applyBorder="1" applyAlignment="1" applyProtection="1">
      <alignment horizontal="center"/>
    </xf>
    <xf numFmtId="0" fontId="21" fillId="5" borderId="6" xfId="0" applyFont="1" applyFill="1" applyBorder="1" applyAlignment="1" applyProtection="1">
      <alignment horizontal="center"/>
    </xf>
    <xf numFmtId="0" fontId="21" fillId="5" borderId="7" xfId="0" applyFont="1" applyFill="1" applyBorder="1" applyAlignment="1" applyProtection="1">
      <alignment horizontal="center"/>
    </xf>
    <xf numFmtId="0" fontId="34" fillId="0" borderId="0" xfId="0" applyFont="1" applyAlignment="1" applyProtection="1">
      <alignment horizontal="center" vertical="center" wrapText="1"/>
      <protection locked="0"/>
    </xf>
    <xf numFmtId="0" fontId="57" fillId="11" borderId="0" xfId="2" applyFont="1" applyFill="1" applyAlignment="1" applyProtection="1">
      <alignment horizontal="center" vertical="center" wrapText="1"/>
    </xf>
    <xf numFmtId="0" fontId="47"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xf>
    <xf numFmtId="0" fontId="22" fillId="6"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4" fillId="0" borderId="0" xfId="0" applyFont="1" applyAlignment="1">
      <alignment horizontal="center"/>
    </xf>
    <xf numFmtId="0" fontId="0" fillId="0" borderId="0" xfId="0" applyAlignment="1">
      <alignment horizontal="center"/>
    </xf>
    <xf numFmtId="0" fontId="46" fillId="0" borderId="0" xfId="0" applyFont="1" applyAlignment="1">
      <alignment horizontal="center" wrapText="1"/>
    </xf>
    <xf numFmtId="0" fontId="50" fillId="17" borderId="0" xfId="0" applyFont="1" applyFill="1" applyAlignment="1">
      <alignment horizontal="center" vertical="center"/>
    </xf>
    <xf numFmtId="0" fontId="54" fillId="0" borderId="0" xfId="0" applyFont="1" applyAlignment="1">
      <alignment horizontal="center" vertical="center"/>
    </xf>
    <xf numFmtId="0" fontId="51" fillId="19" borderId="0" xfId="2" applyFont="1" applyFill="1" applyAlignment="1" applyProtection="1">
      <alignment horizontal="center" vertical="center" wrapText="1"/>
    </xf>
    <xf numFmtId="0" fontId="0" fillId="13" borderId="0" xfId="0" applyFill="1" applyBorder="1" applyAlignment="1" applyProtection="1">
      <alignment horizontal="left" vertical="center" wrapText="1"/>
      <protection locked="0"/>
    </xf>
    <xf numFmtId="0" fontId="34" fillId="0" borderId="0" xfId="0" applyFont="1" applyBorder="1" applyAlignment="1" applyProtection="1">
      <alignment horizontal="center" vertical="center"/>
      <protection locked="0"/>
    </xf>
    <xf numFmtId="0" fontId="56" fillId="15" borderId="0" xfId="2" applyFont="1" applyFill="1" applyAlignment="1" applyProtection="1">
      <alignment horizontal="center" vertical="center" wrapText="1"/>
    </xf>
  </cellXfs>
  <cellStyles count="10">
    <cellStyle name="Énfasis1" xfId="1" builtinId="29"/>
    <cellStyle name="Énfasis5" xfId="8" builtinId="45"/>
    <cellStyle name="Estilo 1" xfId="4"/>
    <cellStyle name="Estilo 2" xfId="5"/>
    <cellStyle name="Estilo 3" xfId="6"/>
    <cellStyle name="Estilo 4" xfId="9"/>
    <cellStyle name="Hipervínculo" xfId="2" builtinId="8"/>
    <cellStyle name="Millares" xfId="3" builtinId="3"/>
    <cellStyle name="Neutral" xfId="7" builtinId="28"/>
    <cellStyle name="Normal" xfId="0" builtinId="0"/>
  </cellStyles>
  <dxfs count="132">
    <dxf>
      <border diagonalUp="0" diagonalDown="0" outline="0">
        <left/>
        <right/>
        <top style="thin">
          <color indexed="64"/>
        </top>
        <bottom/>
      </border>
      <protection locked="0" hidden="0"/>
    </dxf>
    <dxf>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1"/>
        <color theme="1"/>
        <name val="Arial"/>
        <scheme val="none"/>
      </font>
      <numFmt numFmtId="2" formatCode="0.00"/>
      <alignment horizontal="center" vertical="center" textRotation="0" wrapText="1" indent="0" justifyLastLine="0" shrinkToFit="0" readingOrder="0"/>
      <border diagonalUp="0" diagonalDown="0">
        <left/>
        <right/>
        <top/>
        <bottom style="thin">
          <color indexed="64"/>
        </bottom>
      </border>
      <protection locked="0" hidden="0"/>
    </dxf>
    <dxf>
      <font>
        <b val="0"/>
        <i val="0"/>
        <strike val="0"/>
        <condense val="0"/>
        <extend val="0"/>
        <outline val="0"/>
        <shadow val="0"/>
        <u val="none"/>
        <vertAlign val="baseline"/>
        <sz val="11"/>
        <color theme="1"/>
        <name val="Arial"/>
        <scheme val="none"/>
      </font>
      <numFmt numFmtId="2" formatCode="0.00"/>
      <alignment horizontal="center" vertical="center" textRotation="0" wrapText="1" indent="0" justifyLastLine="0" shrinkToFit="0" readingOrder="0"/>
      <border diagonalUp="0" diagonalDown="0">
        <left/>
        <right/>
        <top/>
        <bottom style="thin">
          <color indexed="64"/>
        </bottom>
      </border>
      <protection locked="0" hidden="0"/>
    </dxf>
    <dxf>
      <font>
        <b val="0"/>
        <i val="0"/>
        <strike val="0"/>
        <condense val="0"/>
        <extend val="0"/>
        <outline val="0"/>
        <shadow val="0"/>
        <u val="none"/>
        <vertAlign val="baseline"/>
        <sz val="11"/>
        <color theme="1"/>
        <name val="Arial"/>
        <scheme val="none"/>
      </font>
      <numFmt numFmtId="2" formatCode="0.00"/>
      <alignment horizontal="center" vertical="center" textRotation="0" wrapText="1" indent="0" justifyLastLine="0" shrinkToFit="0" readingOrder="0"/>
      <border diagonalUp="0" diagonalDown="0">
        <left/>
        <right/>
        <top/>
        <bottom style="thin">
          <color indexed="64"/>
        </bottom>
      </border>
      <protection locked="0" hidden="0"/>
    </dxf>
    <dxf>
      <alignment horizontal="center" vertical="center" textRotation="0" wrapText="1" indent="0" justifyLastLine="0" shrinkToFit="0" readingOrder="0"/>
      <border diagonalUp="0" diagonalDown="0" outline="0">
        <left/>
        <right/>
        <top/>
        <bottom style="thin">
          <color indexed="64"/>
        </bottom>
      </border>
      <protection locked="0" hidden="0"/>
    </dxf>
    <dxf>
      <numFmt numFmtId="1" formatCode="0"/>
      <alignment horizontal="center" vertical="center" textRotation="0" wrapText="1" indent="0" justifyLastLine="0" shrinkToFit="0" readingOrder="0"/>
      <border diagonalUp="0" diagonalDown="0" outline="0">
        <left/>
        <right/>
        <top/>
        <bottom style="thin">
          <color indexed="64"/>
        </bottom>
      </border>
      <protection locked="1" hidden="0"/>
    </dxf>
    <dxf>
      <alignment horizontal="center" vertical="center" textRotation="0" wrapText="1" indent="0" justifyLastLine="0" shrinkToFit="0" readingOrder="0"/>
      <border diagonalUp="0" diagonalDown="0" outline="0">
        <left/>
        <right/>
        <top/>
        <bottom style="thin">
          <color indexed="64"/>
        </bottom>
      </border>
      <protection locked="0" hidden="0"/>
    </dxf>
    <dxf>
      <alignment horizontal="left" vertical="center" textRotation="0" wrapText="1" indent="0" justifyLastLine="0" shrinkToFit="0" readingOrder="0"/>
      <border diagonalUp="0" diagonalDown="0">
        <left/>
        <right/>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65" formatCode="0.0"/>
    </dxf>
    <dxf>
      <numFmt numFmtId="165" formatCode="0.0"/>
    </dxf>
    <dxf>
      <protection locked="0" hidden="0"/>
    </dxf>
    <dxf>
      <protection locked="0" hidden="0"/>
    </dxf>
    <dxf>
      <alignment horizontal="center" vertical="bottom" textRotation="0" wrapText="1" indent="0" justifyLastLine="0" shrinkToFit="0" readingOrder="0"/>
    </dxf>
    <dxf>
      <numFmt numFmtId="165" formatCode="0.0"/>
    </dxf>
    <dxf>
      <protection locked="0" hidden="0"/>
    </dxf>
    <dxf>
      <protection locked="0" hidden="0"/>
    </dxf>
    <dxf>
      <alignment horizontal="center" vertical="bottom" textRotation="0" wrapText="1" indent="0" justifyLastLine="0" shrinkToFit="0" readingOrder="0"/>
    </dxf>
    <dxf>
      <alignment horizontal="center" vertical="center" textRotation="0" wrapText="1" indent="0" justifyLastLine="0" shrinkToFit="0" readingOrder="0"/>
      <border diagonalUp="0" diagonalDown="0" outline="0">
        <left/>
        <right/>
        <top style="thin">
          <color indexed="64"/>
        </top>
        <bottom/>
      </border>
      <protection locked="1" hidden="0"/>
    </dxf>
    <dxf>
      <numFmt numFmtId="0" formatCode="General"/>
      <alignment horizontal="center" vertical="center" textRotation="0" wrapText="1" indent="0" justifyLastLine="0" shrinkToFit="0" readingOrder="0"/>
      <border diagonalUp="0" diagonalDown="0">
        <left/>
        <right/>
        <top style="thin">
          <color indexed="64"/>
        </top>
        <bottom/>
      </border>
      <protection locked="1" hidden="0"/>
    </dxf>
    <dxf>
      <numFmt numFmtId="165" formatCode="0.0"/>
      <alignment horizontal="center" vertical="center" textRotation="0" wrapText="1" indent="0" justifyLastLine="0" shrinkToFit="0" readingOrder="0"/>
      <border diagonalUp="0" diagonalDown="0" outline="0">
        <left/>
        <right/>
        <top style="thin">
          <color indexed="64"/>
        </top>
        <bottom/>
      </border>
      <protection locked="1" hidden="0"/>
    </dxf>
    <dxf>
      <numFmt numFmtId="165" formatCode="0.0"/>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1"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vertical/>
        <horizontal/>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border>
      <protection locked="0" hidden="0"/>
    </dxf>
    <dxf>
      <border outline="0">
        <top style="thin">
          <color indexed="64"/>
        </top>
      </border>
    </dxf>
    <dxf>
      <border outline="0">
        <top style="thin">
          <color indexed="64"/>
        </top>
        <bottom style="thin">
          <color indexed="64"/>
        </bottom>
      </border>
    </dxf>
    <dxf>
      <border outline="0">
        <bottom style="thin">
          <color indexed="64"/>
        </bottom>
      </border>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border outline="0">
        <top style="thin">
          <color indexed="64"/>
        </top>
      </border>
    </dxf>
    <dxf>
      <border outline="0">
        <top style="thin">
          <color indexed="64"/>
        </top>
        <bottom style="thin">
          <color indexed="64"/>
        </bottom>
      </border>
    </dxf>
    <dxf>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border diagonalUp="0" diagonalDown="0">
        <left/>
        <right/>
        <top style="thin">
          <color indexed="64"/>
        </top>
        <bottom/>
      </border>
      <protection locked="0" hidden="0"/>
    </dxf>
    <dxf>
      <alignment horizontal="center" vertical="center" textRotation="0" wrapText="1" indent="0" justifyLastLine="0" shrinkToFit="0" readingOrder="0"/>
      <border diagonalUp="0" diagonalDown="0" outline="0">
        <left/>
        <right/>
        <top style="thin">
          <color indexed="64"/>
        </top>
        <bottom/>
      </border>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border diagonalUp="0" diagonalDown="0" outline="0">
        <left/>
        <right/>
        <top style="thin">
          <color indexed="64"/>
        </top>
        <bottom/>
      </border>
      <protection locked="0" hidden="0"/>
    </dxf>
    <dxf>
      <alignment horizontal="left" vertical="center"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top style="thin">
          <color indexed="64"/>
        </top>
        <bottom style="thin">
          <color indexed="64"/>
        </bottom>
      </border>
    </dxf>
    <dxf>
      <border outline="0">
        <bottom style="thin">
          <color indexed="64"/>
        </bottom>
      </border>
    </dxf>
    <dxf>
      <alignment horizontal="center" vertical="center" textRotation="0" wrapText="1" indent="0" justifyLastLine="0" shrinkToFit="0" readingOrder="0"/>
    </dxf>
    <dxf>
      <alignment horizontal="general" vertical="center" textRotation="0" wrapText="1" indent="0" justifyLastLine="0" shrinkToFit="0" readingOrder="0"/>
      <border diagonalUp="0" diagonalDown="0" outline="0">
        <left/>
        <right/>
        <top/>
        <bottom/>
      </border>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vertical/>
        <horizontal/>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vertical/>
        <horizontal/>
      </border>
      <protection locked="0" hidden="0"/>
    </dxf>
    <dxf>
      <alignment horizontal="general" vertical="center" textRotation="0" wrapText="1" indent="0" justifyLastLine="0" shrinkToFit="0" readingOrder="0"/>
      <border diagonalUp="0" diagonalDown="0" outline="0">
        <left/>
        <right/>
        <top style="thin">
          <color indexed="64"/>
        </top>
        <bottom/>
      </border>
      <protection locked="0" hidden="0"/>
    </dxf>
    <dxf>
      <alignment horizontal="general" vertical="center" textRotation="0" wrapText="1" indent="0" justifyLastLine="0" shrinkToFit="0" readingOrder="0"/>
      <border diagonalUp="0" diagonalDown="0">
        <left/>
        <right/>
        <top style="thin">
          <color indexed="64"/>
        </top>
        <bottom/>
      </border>
      <protection locked="0" hidden="0"/>
    </dxf>
    <dxf>
      <border outline="0">
        <top style="thin">
          <color indexed="64"/>
        </top>
      </border>
    </dxf>
    <dxf>
      <border outline="0">
        <top style="thin">
          <color indexed="64"/>
        </top>
        <bottom style="thin">
          <color indexed="64"/>
        </bottom>
      </border>
    </dxf>
    <dxf>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protection locked="0" hidden="0"/>
    </dxf>
    <dxf>
      <protection locked="0" hidden="0"/>
    </dxf>
    <dxf>
      <protection locked="0" hidden="0"/>
    </dxf>
    <dxf>
      <border outline="0">
        <top style="thin">
          <color indexed="64"/>
        </top>
      </border>
    </dxf>
    <dxf>
      <protection locked="0" hidden="0"/>
    </dxf>
    <dxf>
      <border outline="0">
        <bottom style="thin">
          <color indexed="64"/>
        </bottom>
      </border>
    </dxf>
    <dxf>
      <alignment horizontal="general" vertical="center" textRotation="0" wrapText="1" indent="0" justifyLastLine="0" shrinkToFit="0" readingOrder="0"/>
      <protection locked="1" hidden="0"/>
    </dxf>
    <dxf>
      <alignment horizontal="general" vertical="center" textRotation="0" wrapText="1" indent="0" justifyLastLine="0" shrinkToFit="0" readingOrder="0"/>
      <protection locked="1" hidden="0"/>
    </dxf>
    <dxf>
      <alignment horizontal="general"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border outline="0">
        <top style="thin">
          <color indexed="64"/>
        </top>
      </border>
    </dxf>
    <dxf>
      <alignment horizontal="general" vertical="center" textRotation="0" wrapText="1" indent="0" justifyLastLine="0" shrinkToFit="0" readingOrder="0"/>
      <protection locked="0" hidden="0"/>
    </dxf>
    <dxf>
      <border outline="0">
        <bottom style="thin">
          <color indexed="64"/>
        </bottom>
      </border>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border outline="0">
        <top style="thin">
          <color indexed="64"/>
        </top>
        <bottom style="thin">
          <color indexed="64"/>
        </bottom>
      </border>
    </dxf>
    <dxf>
      <border outline="0">
        <bottom style="thin">
          <color indexed="64"/>
        </bottom>
      </border>
    </dxf>
    <dxf>
      <numFmt numFmtId="165" formatCode="0.0"/>
    </dxf>
    <dxf>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bottom/>
        <vertical/>
        <horizontal/>
      </border>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3"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2</xdr:col>
      <xdr:colOff>762000</xdr:colOff>
      <xdr:row>27</xdr:row>
      <xdr:rowOff>152400</xdr:rowOff>
    </xdr:to>
    <xdr:sp macro="" textlink="">
      <xdr:nvSpPr>
        <xdr:cNvPr id="6306" name="AutoShape 1" descr="Resultado de imagen para inventario">
          <a:extLst>
            <a:ext uri="{FF2B5EF4-FFF2-40B4-BE49-F238E27FC236}">
              <a16:creationId xmlns="" xmlns:a16="http://schemas.microsoft.com/office/drawing/2014/main" id="{00000000-0008-0000-0000-0000A2180000}"/>
            </a:ext>
          </a:extLst>
        </xdr:cNvPr>
        <xdr:cNvSpPr>
          <a:spLocks noChangeAspect="1" noChangeArrowheads="1"/>
        </xdr:cNvSpPr>
      </xdr:nvSpPr>
      <xdr:spPr bwMode="auto">
        <a:xfrm>
          <a:off x="219075" y="426720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457200</xdr:colOff>
      <xdr:row>14</xdr:row>
      <xdr:rowOff>57150</xdr:rowOff>
    </xdr:from>
    <xdr:to>
      <xdr:col>4</xdr:col>
      <xdr:colOff>180975</xdr:colOff>
      <xdr:row>22</xdr:row>
      <xdr:rowOff>9525</xdr:rowOff>
    </xdr:to>
    <xdr:pic>
      <xdr:nvPicPr>
        <xdr:cNvPr id="6307" name="Imagen 3">
          <a:extLst>
            <a:ext uri="{FF2B5EF4-FFF2-40B4-BE49-F238E27FC236}">
              <a16:creationId xmlns="" xmlns:a16="http://schemas.microsoft.com/office/drawing/2014/main" id="{00000000-0008-0000-0000-0000A3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419475"/>
          <a:ext cx="1400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15</xdr:row>
      <xdr:rowOff>0</xdr:rowOff>
    </xdr:from>
    <xdr:to>
      <xdr:col>6</xdr:col>
      <xdr:colOff>304800</xdr:colOff>
      <xdr:row>16</xdr:row>
      <xdr:rowOff>123825</xdr:rowOff>
    </xdr:to>
    <xdr:sp macro="" textlink="">
      <xdr:nvSpPr>
        <xdr:cNvPr id="6308" name="AutoShape 1" descr="https://static.vecteezy.com/system/resources/previews/000/106/057/non_2x/free-oil-change-vector-icon.png">
          <a:extLst>
            <a:ext uri="{FF2B5EF4-FFF2-40B4-BE49-F238E27FC236}">
              <a16:creationId xmlns="" xmlns:a16="http://schemas.microsoft.com/office/drawing/2014/main" id="{00000000-0008-0000-0000-0000A4180000}"/>
            </a:ext>
          </a:extLst>
        </xdr:cNvPr>
        <xdr:cNvSpPr>
          <a:spLocks noChangeAspect="1" noChangeArrowheads="1"/>
        </xdr:cNvSpPr>
      </xdr:nvSpPr>
      <xdr:spPr bwMode="auto">
        <a:xfrm>
          <a:off x="4410075" y="3724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15</xdr:row>
      <xdr:rowOff>0</xdr:rowOff>
    </xdr:from>
    <xdr:to>
      <xdr:col>6</xdr:col>
      <xdr:colOff>304800</xdr:colOff>
      <xdr:row>16</xdr:row>
      <xdr:rowOff>123825</xdr:rowOff>
    </xdr:to>
    <xdr:sp macro="" textlink="">
      <xdr:nvSpPr>
        <xdr:cNvPr id="6309" name="AutoShape 2" descr="https://static.vecteezy.com/system/resources/previews/000/106/057/non_2x/free-oil-change-vector-icon.png">
          <a:extLst>
            <a:ext uri="{FF2B5EF4-FFF2-40B4-BE49-F238E27FC236}">
              <a16:creationId xmlns="" xmlns:a16="http://schemas.microsoft.com/office/drawing/2014/main" id="{00000000-0008-0000-0000-0000A5180000}"/>
            </a:ext>
          </a:extLst>
        </xdr:cNvPr>
        <xdr:cNvSpPr>
          <a:spLocks noChangeAspect="1" noChangeArrowheads="1"/>
        </xdr:cNvSpPr>
      </xdr:nvSpPr>
      <xdr:spPr bwMode="auto">
        <a:xfrm>
          <a:off x="4410075" y="3724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161925</xdr:colOff>
      <xdr:row>13</xdr:row>
      <xdr:rowOff>19050</xdr:rowOff>
    </xdr:from>
    <xdr:to>
      <xdr:col>8</xdr:col>
      <xdr:colOff>590550</xdr:colOff>
      <xdr:row>21</xdr:row>
      <xdr:rowOff>47625</xdr:rowOff>
    </xdr:to>
    <xdr:pic>
      <xdr:nvPicPr>
        <xdr:cNvPr id="6310" name="Imagen 6">
          <a:extLst>
            <a:ext uri="{FF2B5EF4-FFF2-40B4-BE49-F238E27FC236}">
              <a16:creationId xmlns="" xmlns:a16="http://schemas.microsoft.com/office/drawing/2014/main" id="{00000000-0008-0000-0000-0000A6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3381375"/>
          <a:ext cx="21050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619125</xdr:colOff>
      <xdr:row>14</xdr:row>
      <xdr:rowOff>28575</xdr:rowOff>
    </xdr:from>
    <xdr:to>
      <xdr:col>12</xdr:col>
      <xdr:colOff>171450</xdr:colOff>
      <xdr:row>20</xdr:row>
      <xdr:rowOff>171450</xdr:rowOff>
    </xdr:to>
    <xdr:pic>
      <xdr:nvPicPr>
        <xdr:cNvPr id="6311" name="Imagen 7">
          <a:extLst>
            <a:ext uri="{FF2B5EF4-FFF2-40B4-BE49-F238E27FC236}">
              <a16:creationId xmlns="" xmlns:a16="http://schemas.microsoft.com/office/drawing/2014/main" id="{00000000-0008-0000-0000-0000A71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000" y="3571875"/>
          <a:ext cx="1228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371474</xdr:colOff>
      <xdr:row>11</xdr:row>
      <xdr:rowOff>238124</xdr:rowOff>
    </xdr:from>
    <xdr:to>
      <xdr:col>16</xdr:col>
      <xdr:colOff>666749</xdr:colOff>
      <xdr:row>22</xdr:row>
      <xdr:rowOff>104774</xdr:rowOff>
    </xdr:to>
    <xdr:pic>
      <xdr:nvPicPr>
        <xdr:cNvPr id="8" name="Imagen 7" descr="Resultado de imagen para residuos vector">
          <a:extLst>
            <a:ext uri="{FF2B5EF4-FFF2-40B4-BE49-F238E27FC236}">
              <a16:creationId xmlns="" xmlns:a16="http://schemas.microsoft.com/office/drawing/2014/main" id="{7E232987-74FC-4861-A7CA-153242E01CE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87149" y="2981324"/>
          <a:ext cx="19716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0</xdr:row>
      <xdr:rowOff>95250</xdr:rowOff>
    </xdr:from>
    <xdr:to>
      <xdr:col>9</xdr:col>
      <xdr:colOff>28575</xdr:colOff>
      <xdr:row>6</xdr:row>
      <xdr:rowOff>171450</xdr:rowOff>
    </xdr:to>
    <xdr:sp macro="" textlink="">
      <xdr:nvSpPr>
        <xdr:cNvPr id="4" name="Rectangle 4">
          <a:extLst>
            <a:ext uri="{FF2B5EF4-FFF2-40B4-BE49-F238E27FC236}">
              <a16:creationId xmlns="" xmlns:a16="http://schemas.microsoft.com/office/drawing/2014/main" id="{00000000-0008-0000-0100-000004000000}"/>
            </a:ext>
          </a:extLst>
        </xdr:cNvPr>
        <xdr:cNvSpPr>
          <a:spLocks noGrp="1" noChangeArrowheads="1"/>
        </xdr:cNvSpPr>
      </xdr:nvSpPr>
      <xdr:spPr bwMode="gray">
        <a:xfrm>
          <a:off x="3876675" y="95250"/>
          <a:ext cx="3771900" cy="1266825"/>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pPr>
            <a:lnSpc>
              <a:spcPts val="2400"/>
            </a:lnSpc>
          </a:pPr>
          <a:r>
            <a:rPr lang="es-CR" sz="2200" b="1"/>
            <a:t>Programa de Gestión Ambiental Institucional</a:t>
          </a:r>
          <a:br>
            <a:rPr lang="es-CR" sz="2200" b="1"/>
          </a:br>
          <a:r>
            <a:rPr lang="es-CR" sz="2200" b="1"/>
            <a:t>PGAI´s</a:t>
          </a:r>
        </a:p>
      </xdr:txBody>
    </xdr:sp>
    <xdr:clientData/>
  </xdr:twoCellAnchor>
  <xdr:oneCellAnchor>
    <xdr:from>
      <xdr:col>4</xdr:col>
      <xdr:colOff>9525</xdr:colOff>
      <xdr:row>7</xdr:row>
      <xdr:rowOff>28575</xdr:rowOff>
    </xdr:from>
    <xdr:ext cx="5305425" cy="514351"/>
    <xdr:sp macro="" textlink="">
      <xdr:nvSpPr>
        <xdr:cNvPr id="5" name="4 Rectángulo">
          <a:extLst>
            <a:ext uri="{FF2B5EF4-FFF2-40B4-BE49-F238E27FC236}">
              <a16:creationId xmlns="" xmlns:a16="http://schemas.microsoft.com/office/drawing/2014/main" id="{00000000-0008-0000-0100-000005000000}"/>
            </a:ext>
          </a:extLst>
        </xdr:cNvPr>
        <xdr:cNvSpPr/>
      </xdr:nvSpPr>
      <xdr:spPr>
        <a:xfrm>
          <a:off x="3819525" y="1409700"/>
          <a:ext cx="5305425" cy="514351"/>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Invetario</a:t>
          </a:r>
          <a:r>
            <a:rPr lang="es-ES" sz="1600" b="1" baseline="0">
              <a:solidFill>
                <a:schemeClr val="accent1"/>
              </a:solidFill>
              <a:effectLst>
                <a:outerShdw blurRad="63500" sx="102000" sy="102000" algn="ctr" rotWithShape="0">
                  <a:prstClr val="black">
                    <a:alpha val="40000"/>
                  </a:prstClr>
                </a:outerShdw>
              </a:effectLst>
              <a:latin typeface="+mj-lt"/>
              <a:ea typeface="+mj-ea"/>
              <a:cs typeface="+mj-cs"/>
            </a:rPr>
            <a:t> de Gases de Efecto Invernadero</a:t>
          </a:r>
          <a:endParaRPr lang="es-ES" sz="1600" b="1">
            <a:solidFill>
              <a:schemeClr val="accent1"/>
            </a:solidFill>
            <a:effectLst>
              <a:outerShdw blurRad="63500" sx="102000" sy="102000" algn="ctr" rotWithShape="0">
                <a:prstClr val="black">
                  <a:alpha val="40000"/>
                </a:prstClr>
              </a:outerShdw>
            </a:effectLst>
            <a:latin typeface="+mj-lt"/>
            <a:ea typeface="+mj-ea"/>
            <a:cs typeface="+mj-cs"/>
          </a:endParaRPr>
        </a:p>
      </xdr:txBody>
    </xdr:sp>
    <xdr:clientData/>
  </xdr:oneCellAnchor>
  <xdr:twoCellAnchor>
    <xdr:from>
      <xdr:col>9</xdr:col>
      <xdr:colOff>56030</xdr:colOff>
      <xdr:row>0</xdr:row>
      <xdr:rowOff>179293</xdr:rowOff>
    </xdr:from>
    <xdr:to>
      <xdr:col>10</xdr:col>
      <xdr:colOff>677112</xdr:colOff>
      <xdr:row>6</xdr:row>
      <xdr:rowOff>89646</xdr:rowOff>
    </xdr:to>
    <xdr:sp macro="" textlink="">
      <xdr:nvSpPr>
        <xdr:cNvPr id="9" name="8 CuadroTexto">
          <a:extLst>
            <a:ext uri="{FF2B5EF4-FFF2-40B4-BE49-F238E27FC236}">
              <a16:creationId xmlns="" xmlns:a16="http://schemas.microsoft.com/office/drawing/2014/main" id="{00000000-0008-0000-0100-000009000000}"/>
            </a:ext>
          </a:extLst>
        </xdr:cNvPr>
        <xdr:cNvSpPr txBox="1"/>
      </xdr:nvSpPr>
      <xdr:spPr>
        <a:xfrm>
          <a:off x="7676030" y="179293"/>
          <a:ext cx="1383082" cy="1100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twoCellAnchor editAs="oneCell">
    <xdr:from>
      <xdr:col>0</xdr:col>
      <xdr:colOff>19050</xdr:colOff>
      <xdr:row>0</xdr:row>
      <xdr:rowOff>19050</xdr:rowOff>
    </xdr:from>
    <xdr:to>
      <xdr:col>3</xdr:col>
      <xdr:colOff>542925</xdr:colOff>
      <xdr:row>12</xdr:row>
      <xdr:rowOff>114300</xdr:rowOff>
    </xdr:to>
    <xdr:pic>
      <xdr:nvPicPr>
        <xdr:cNvPr id="11367" name="4 Imagen" descr="http://cdn4.sustentator.com/blog-es/files/2012/11/CO2.jpeg">
          <a:extLst>
            <a:ext uri="{FF2B5EF4-FFF2-40B4-BE49-F238E27FC236}">
              <a16:creationId xmlns="" xmlns:a16="http://schemas.microsoft.com/office/drawing/2014/main" id="{00000000-0008-0000-0100-000067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3038475"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xdr:row>
      <xdr:rowOff>0</xdr:rowOff>
    </xdr:from>
    <xdr:to>
      <xdr:col>1</xdr:col>
      <xdr:colOff>304800</xdr:colOff>
      <xdr:row>17</xdr:row>
      <xdr:rowOff>66675</xdr:rowOff>
    </xdr:to>
    <xdr:sp macro="" textlink="">
      <xdr:nvSpPr>
        <xdr:cNvPr id="11368" name="AutoShape 9" descr="Resultado de imagen para emisiones">
          <a:extLst>
            <a:ext uri="{FF2B5EF4-FFF2-40B4-BE49-F238E27FC236}">
              <a16:creationId xmlns="" xmlns:a16="http://schemas.microsoft.com/office/drawing/2014/main" id="{00000000-0008-0000-0100-0000682C0000}"/>
            </a:ext>
          </a:extLst>
        </xdr:cNvPr>
        <xdr:cNvSpPr>
          <a:spLocks noChangeAspect="1" noChangeArrowheads="1"/>
        </xdr:cNvSpPr>
      </xdr:nvSpPr>
      <xdr:spPr bwMode="auto">
        <a:xfrm>
          <a:off x="838200" y="34385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12</xdr:row>
      <xdr:rowOff>180975</xdr:rowOff>
    </xdr:from>
    <xdr:to>
      <xdr:col>3</xdr:col>
      <xdr:colOff>542925</xdr:colOff>
      <xdr:row>20</xdr:row>
      <xdr:rowOff>104775</xdr:rowOff>
    </xdr:to>
    <xdr:pic>
      <xdr:nvPicPr>
        <xdr:cNvPr id="11369" name="Imagen 11">
          <a:extLst>
            <a:ext uri="{FF2B5EF4-FFF2-40B4-BE49-F238E27FC236}">
              <a16:creationId xmlns="" xmlns:a16="http://schemas.microsoft.com/office/drawing/2014/main" id="{00000000-0008-0000-0100-0000692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667000"/>
          <a:ext cx="30384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13</xdr:row>
      <xdr:rowOff>99332</xdr:rowOff>
    </xdr:from>
    <xdr:to>
      <xdr:col>6</xdr:col>
      <xdr:colOff>265033</xdr:colOff>
      <xdr:row>25</xdr:row>
      <xdr:rowOff>94535</xdr:rowOff>
    </xdr:to>
    <xdr:pic>
      <xdr:nvPicPr>
        <xdr:cNvPr id="6" name="Imagen 5">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428625" y="3595007"/>
          <a:ext cx="5189458" cy="22240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142875</xdr:colOff>
      <xdr:row>16</xdr:row>
      <xdr:rowOff>167525</xdr:rowOff>
    </xdr:from>
    <xdr:to>
      <xdr:col>10</xdr:col>
      <xdr:colOff>398083</xdr:colOff>
      <xdr:row>25</xdr:row>
      <xdr:rowOff>467950</xdr:rowOff>
    </xdr:to>
    <xdr:pic>
      <xdr:nvPicPr>
        <xdr:cNvPr id="3" name="11 Imagen" descr="http://www.servinse.com/images/CALDERA1.jpg">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53800" y="3758450"/>
          <a:ext cx="3569908" cy="2262575"/>
        </a:xfrm>
        <a:prstGeom prst="rect">
          <a:avLst/>
        </a:prstGeom>
        <a:ln>
          <a:noFill/>
        </a:ln>
        <a:effectLst>
          <a:softEdge rad="112500"/>
        </a:effectLst>
      </xdr:spPr>
    </xdr:pic>
    <xdr:clientData/>
  </xdr:twoCellAnchor>
  <xdr:twoCellAnchor editAs="oneCell">
    <xdr:from>
      <xdr:col>10</xdr:col>
      <xdr:colOff>561975</xdr:colOff>
      <xdr:row>16</xdr:row>
      <xdr:rowOff>152401</xdr:rowOff>
    </xdr:from>
    <xdr:to>
      <xdr:col>14</xdr:col>
      <xdr:colOff>0</xdr:colOff>
      <xdr:row>25</xdr:row>
      <xdr:rowOff>438151</xdr:rowOff>
    </xdr:to>
    <xdr:pic>
      <xdr:nvPicPr>
        <xdr:cNvPr id="4" name="Picture 8" descr="http://www.viarural.com.ar/viarural.com.ar/insumosagropecuarios/ganaderos/motosierras/stihl/stihl-01.jpg">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t="14584" b="22916"/>
        <a:stretch>
          <a:fillRect/>
        </a:stretch>
      </xdr:blipFill>
      <xdr:spPr bwMode="auto">
        <a:xfrm>
          <a:off x="15087600" y="3743326"/>
          <a:ext cx="4333875" cy="2247900"/>
        </a:xfrm>
        <a:prstGeom prst="rect">
          <a:avLst/>
        </a:prstGeom>
        <a:ln>
          <a:noFill/>
        </a:ln>
        <a:effectLst>
          <a:softEdge rad="112500"/>
        </a:effectLst>
      </xdr:spPr>
    </xdr:pic>
    <xdr:clientData/>
  </xdr:twoCellAnchor>
  <xdr:twoCellAnchor editAs="oneCell">
    <xdr:from>
      <xdr:col>3</xdr:col>
      <xdr:colOff>28575</xdr:colOff>
      <xdr:row>16</xdr:row>
      <xdr:rowOff>28575</xdr:rowOff>
    </xdr:from>
    <xdr:to>
      <xdr:col>5</xdr:col>
      <xdr:colOff>553204</xdr:colOff>
      <xdr:row>25</xdr:row>
      <xdr:rowOff>482239</xdr:rowOff>
    </xdr:to>
    <xdr:pic>
      <xdr:nvPicPr>
        <xdr:cNvPr id="2" name="Picture 4" descr="http://www.fuerzaaerea.mil.do/Portals/0/Images/Noticias/flota%20vehicular%20FAD.jpg">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619500" y="3619500"/>
          <a:ext cx="3477379" cy="2415814"/>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66379</xdr:colOff>
      <xdr:row>7</xdr:row>
      <xdr:rowOff>66675</xdr:rowOff>
    </xdr:from>
    <xdr:to>
      <xdr:col>3</xdr:col>
      <xdr:colOff>9059</xdr:colOff>
      <xdr:row>22</xdr:row>
      <xdr:rowOff>144116</xdr:rowOff>
    </xdr:to>
    <xdr:pic>
      <xdr:nvPicPr>
        <xdr:cNvPr id="2" name="Picture 2">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379" y="1562100"/>
          <a:ext cx="2943055" cy="2858741"/>
        </a:xfrm>
        <a:prstGeom prst="rect">
          <a:avLst/>
        </a:prstGeom>
        <a:ln>
          <a:noFill/>
        </a:ln>
        <a:effectLst>
          <a:softEdge rad="112500"/>
        </a:effectLst>
      </xdr:spPr>
    </xdr:pic>
    <xdr:clientData/>
  </xdr:twoCellAnchor>
  <xdr:twoCellAnchor editAs="oneCell">
    <xdr:from>
      <xdr:col>3</xdr:col>
      <xdr:colOff>371475</xdr:colOff>
      <xdr:row>8</xdr:row>
      <xdr:rowOff>40530</xdr:rowOff>
    </xdr:from>
    <xdr:to>
      <xdr:col>6</xdr:col>
      <xdr:colOff>24701</xdr:colOff>
      <xdr:row>21</xdr:row>
      <xdr:rowOff>35645</xdr:rowOff>
    </xdr:to>
    <xdr:pic>
      <xdr:nvPicPr>
        <xdr:cNvPr id="3" name="Picture 6">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71850" y="1716930"/>
          <a:ext cx="2901251" cy="2414465"/>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219075</xdr:colOff>
      <xdr:row>5</xdr:row>
      <xdr:rowOff>67617</xdr:rowOff>
    </xdr:from>
    <xdr:to>
      <xdr:col>12</xdr:col>
      <xdr:colOff>285750</xdr:colOff>
      <xdr:row>11</xdr:row>
      <xdr:rowOff>170847</xdr:rowOff>
    </xdr:to>
    <xdr:pic>
      <xdr:nvPicPr>
        <xdr:cNvPr id="2" name="Imagen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49025" y="1429692"/>
          <a:ext cx="3419475" cy="1922505"/>
        </a:xfrm>
        <a:prstGeom prst="rect">
          <a:avLst/>
        </a:prstGeom>
        <a:ln>
          <a:noFill/>
        </a:ln>
        <a:effectLst>
          <a:softEdge rad="112500"/>
        </a:effectLst>
      </xdr:spPr>
    </xdr:pic>
    <xdr:clientData/>
  </xdr:twoCellAnchor>
</xdr:wsDr>
</file>

<file path=xl/tables/table1.xml><?xml version="1.0" encoding="utf-8"?>
<table xmlns="http://schemas.openxmlformats.org/spreadsheetml/2006/main" id="3" name="Tabla94" displayName="Tabla94" ref="B76:C182" totalsRowShown="0" headerRowDxfId="131" headerRowBorderDxfId="130" tableBorderDxfId="129" totalsRowBorderDxfId="128" headerRowCellStyle="Énfasis1">
  <autoFilter ref="B76:C182"/>
  <tableColumns count="2">
    <tableColumn id="1" name="Tipo de gas refrigerante" dataDxfId="127"/>
    <tableColumn id="2" name="Potencial de calentamiento global (CO2 e)" dataDxfId="126"/>
  </tableColumns>
  <tableStyleInfo name="TableStyleMedium2" showFirstColumn="0" showLastColumn="0" showRowStripes="1" showColumnStripes="0"/>
</table>
</file>

<file path=xl/tables/table10.xml><?xml version="1.0" encoding="utf-8"?>
<table xmlns="http://schemas.openxmlformats.org/spreadsheetml/2006/main" id="12" name="Tabla12" displayName="Tabla12" ref="C14:I17" totalsRowCount="1" headerRowBorderDxfId="48" tableBorderDxfId="47" totalsRowBorderDxfId="46">
  <autoFilter ref="C14:I16"/>
  <tableColumns count="7">
    <tableColumn id="4" name="Tipo de tratamiento" totalsRowLabel="Total" dataDxfId="45" totalsRowDxfId="44"/>
    <tableColumn id="1" name="Cantidad de personas totales de la organización" dataDxfId="43" totalsRowDxfId="42"/>
    <tableColumn id="8" name="Horas en la organización al día" dataDxfId="41" totalsRowDxfId="40"/>
    <tableColumn id="2" name="Días laborados/año" dataDxfId="39" totalsRowDxfId="38"/>
    <tableColumn id="3" name="Total kg RS por año laborado" totalsRowFunction="sum" dataDxfId="37" totalsRowDxfId="36">
      <calculatedColumnFormula>IFERROR(((Factores!$G$52)*Residuos!F15*D15),"")</calculatedColumnFormula>
    </tableColumn>
    <tableColumn id="5" name=" kg CH4/año" totalsRowFunction="sum" dataDxfId="35" totalsRowDxfId="34">
      <calculatedColumnFormula>IFERROR((VLOOKUP(Tabla12[[#This Row],[Tipo de tratamiento]],Factores!$B$53:$D$55,2,FALSE)*Tabla12[[#This Row],[Total kg RS por año laborado]]),"0")</calculatedColumnFormula>
    </tableColumn>
    <tableColumn id="6" name="kg/N2O/año" totalsRowFunction="sum" dataDxfId="33" totalsRowDxfId="32">
      <calculatedColumnFormula>IFERROR((VLOOKUP(Tabla12[[#This Row],[Tipo de tratamiento]],Factores!$B$53:$D$55,3,FALSE)*Tabla12[[#This Row],[Total kg RS por año laborado]]),"0")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id="1" name="Tabla1" displayName="Tabla1" ref="B9:D28" totalsRowCount="1" headerRowDxfId="31">
  <autoFilter ref="B9:D27"/>
  <tableColumns count="3">
    <tableColumn id="1" name="Tipo de Gas" totalsRowLabel="Total" dataDxfId="30"/>
    <tableColumn id="2" name="Fuga Anual (gramos/año)" totalsRowFunction="sum" dataDxfId="29"/>
    <tableColumn id="3" name="Fuga Anual (Ton/CO2e)" totalsRowFunction="sum" dataDxfId="28">
      <calculatedColumnFormula>IFERROR((Tabla1[[#This Row],[Fuga Anual (gramos/año)]]*(VLOOKUP(Tabla1[[#This Row],[Tipo de Gas]],Tabla94[],2,FALSE)))/1000000,"")</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6" name="Tabla17" displayName="Tabla17" ref="G9:J28" totalsRowCount="1" headerRowDxfId="27">
  <autoFilter ref="G9:J27"/>
  <tableColumns count="4">
    <tableColumn id="1" name="Tipo de Gas" totalsRowLabel="Total" dataDxfId="26"/>
    <tableColumn id="2" name="Cantidad en Inventario (gramos)" totalsRowFunction="sum" dataDxfId="25"/>
    <tableColumn id="6" name="Fuga Teorica de 10% (gr)" totalsRowFunction="sum">
      <calculatedColumnFormula>Tabla17[[#This Row],[Cantidad en Inventario (gramos)]]*0.1</calculatedColumnFormula>
    </tableColumn>
    <tableColumn id="3" name="Fuga Teorica Anual (Ton/CO2e)" totalsRowFunction="sum" dataDxfId="24" totalsRowDxfId="23">
      <calculatedColumnFormula>(IFERROR((Tabla17[[#This Row],[Fuga Teorica de 10% (gr)]]*(VLOOKUP(Tabla17[[#This Row],[Tipo de Gas]],Tabla94[],2,FALSE)))/1000000,""))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2" name="Tabla2" displayName="Tabla2" ref="A4:B14" totalsRowCount="1" headerRowDxfId="22" dataDxfId="21" totalsRowDxfId="20">
  <autoFilter ref="A4:B13"/>
  <tableColumns count="2">
    <tableColumn id="1" name="Descripción" totalsRowLabel="Total" dataDxfId="19" totalsRowDxfId="18"/>
    <tableColumn id="2" name="Total kilogramos CO2e" totalsRowFunction="count" dataDxfId="17" totalsRowDxfId="16"/>
  </tableColumns>
  <tableStyleInfo name="TableStyleLight9" showFirstColumn="0" showLastColumn="0" showRowStripes="1" showColumnStripes="0"/>
</table>
</file>

<file path=xl/tables/table14.xml><?xml version="1.0" encoding="utf-8"?>
<table xmlns="http://schemas.openxmlformats.org/spreadsheetml/2006/main" id="23" name="Tabla23" displayName="Tabla23" ref="B4:J13" totalsRowShown="0" dataDxfId="15" tableBorderDxfId="14" dataCellStyle="Millares">
  <autoFilter ref="B4:J13"/>
  <tableColumns count="9">
    <tableColumn id="1" name="Tipo de emisión" dataDxfId="13"/>
    <tableColumn id="2" name="Aspecto Ambiental" dataDxfId="12"/>
    <tableColumn id="3" name="Tipo de Contaminante" dataDxfId="11"/>
    <tableColumn id="4" name="Cantidad/año" dataDxfId="10"/>
    <tableColumn id="5" name="Unidad" dataDxfId="9"/>
    <tableColumn id="6" name="kg CO2/Año" dataDxfId="8" dataCellStyle="Millares"/>
    <tableColumn id="8" name="kg/CH4/Año" dataDxfId="7" dataCellStyle="Millares"/>
    <tableColumn id="9" name=" kg/N2O/Año" dataDxfId="6" dataCellStyle="Millares"/>
    <tableColumn id="10" name="TCO2 eq emitido/ año" dataDxfId="5" dataCellStyle="Millares"/>
  </tableColumns>
  <tableStyleInfo name="TableStyleMedium2" showFirstColumn="0" showLastColumn="0" showRowStripes="1" showColumnStripes="0"/>
</table>
</file>

<file path=xl/tables/table2.xml><?xml version="1.0" encoding="utf-8"?>
<table xmlns="http://schemas.openxmlformats.org/spreadsheetml/2006/main" id="8" name="Tabla8" displayName="Tabla8" ref="B35:E42" totalsRowShown="0" headerRowDxfId="125" headerRowBorderDxfId="124" tableBorderDxfId="123">
  <autoFilter ref="B35:E42"/>
  <tableColumns count="4">
    <tableColumn id="1" name="Detalle" dataDxfId="122"/>
    <tableColumn id="2" name="Año de Consumo" dataDxfId="121"/>
    <tableColumn id="3" name="Factor de emisión" dataDxfId="120"/>
    <tableColumn id="4" name="Unidad" dataDxfId="119"/>
  </tableColumns>
  <tableStyleInfo name="TableStyleLight9" showFirstColumn="0" showLastColumn="0" showRowStripes="1" showColumnStripes="0"/>
</table>
</file>

<file path=xl/tables/table3.xml><?xml version="1.0" encoding="utf-8"?>
<table xmlns="http://schemas.openxmlformats.org/spreadsheetml/2006/main" id="7" name="Tabla108" displayName="Tabla108" ref="C10:D11" totalsRowShown="0" headerRowBorderDxfId="118" tableBorderDxfId="117">
  <autoFilter ref="C10:D11"/>
  <tableColumns count="2">
    <tableColumn id="1" name="Litros Totales" dataDxfId="116"/>
    <tableColumn id="2" name="kg CO2" dataDxfId="115">
      <calculatedColumnFormula>IF(Tabla108[Litros Totales]&gt;0,C11*Factores!C31,"")</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4" name="Tabla4" displayName="Tabla4" ref="B7:G15" totalsRowCount="1" headerRowBorderDxfId="114" tableBorderDxfId="113">
  <autoFilter ref="B7:G14"/>
  <tableColumns count="6">
    <tableColumn id="1" name="Tipo de Combustible" totalsRowLabel="Total"/>
    <tableColumn id="2" name="Tipo de Fuente Móvil"/>
    <tableColumn id="3" name="Litros Totales/ año" totalsRowFunction="sum" dataDxfId="112" totalsRowDxfId="4"/>
    <tableColumn id="4" name="kg CO2e/Año" totalsRowFunction="sum" dataDxfId="111">
      <calculatedColumnFormula>IFERROR(((VLOOKUP(Tabla4[[#This Row],[Tipo de Combustible]],Factores!$B$7:$E$13,2,FALSE))*Tabla4[[#This Row],[Litros Totales/ año]]),"")</calculatedColumnFormula>
    </tableColumn>
    <tableColumn id="5" name="kg/CH4/Año" totalsRowFunction="sum" dataDxfId="110">
      <calculatedColumnFormula>IFERROR(((VLOOKUP(Tabla4[[#This Row],[Tipo de Combustible]],Factores!$B$7:$E$13,3,FALSE))*Tabla4[[#This Row],[Litros Totales/ año]])/1000,"")</calculatedColumnFormula>
    </tableColumn>
    <tableColumn id="6" name=" kg/N2O/Año" totalsRowFunction="sum" dataDxfId="109">
      <calculatedColumnFormula>IFERROR(((VLOOKUP(Tabla4[[#This Row],[Tipo de Combustible]],Factores!$B$7:$E$13,4,FALSE))*Tabla4[[#This Row],[Litros Totales/ año]])/1000,"")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5" name="Tabla5" displayName="Tabla5" ref="I7:N15" totalsRowCount="1" dataDxfId="107" headerRowBorderDxfId="108" tableBorderDxfId="106">
  <autoFilter ref="I7:N14"/>
  <tableColumns count="6">
    <tableColumn id="1" name="Tipo de Combustible" totalsRowLabel="Total" dataDxfId="105" totalsRowDxfId="104"/>
    <tableColumn id="2" name="Tipo de Fuente Fija" dataDxfId="103" totalsRowDxfId="102"/>
    <tableColumn id="3" name="Litros Totales / año" totalsRowFunction="sum" dataDxfId="101" totalsRowDxfId="100"/>
    <tableColumn id="4" name="kg CO2e/Año" totalsRowFunction="sum" dataDxfId="99">
      <calculatedColumnFormula>IFERROR((VLOOKUP(Tabla5[[#This Row],[Tipo de Combustible]],Factores!$B$21:$E$24,2,FALSE))*Tabla5[[#This Row],[Litros Totales / año]],"")</calculatedColumnFormula>
    </tableColumn>
    <tableColumn id="5" name="kg/CH4/Año" totalsRowFunction="sum" dataDxfId="98">
      <calculatedColumnFormula>IFERROR(((VLOOKUP(Tabla5[[#This Row],[Tipo de Combustible]],Factores!$B$21:$E$24,3,FALSE))*Tabla5[[#This Row],[Litros Totales / año]])/1000,"")</calculatedColumnFormula>
    </tableColumn>
    <tableColumn id="6" name=" kg/N2O/Año" totalsRowFunction="sum" dataDxfId="97">
      <calculatedColumnFormula>IFERROR(((VLOOKUP(Tabla5[[#This Row],[Tipo de Combustible]],Factores!$B$21:$E$24,4,FALSE))*Tabla5[[#This Row],[Litros Totales / año]])/1000,"")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0" name="Tabla10" displayName="Tabla10" ref="C6:D7" totalsRowShown="0" dataDxfId="95" headerRowBorderDxfId="96" tableBorderDxfId="94">
  <autoFilter ref="C6:D7"/>
  <tableColumns count="2">
    <tableColumn id="1" name="Año de consumo" dataDxfId="93"/>
    <tableColumn id="2" name="kWh Totales / año" dataDxfId="92"/>
  </tableColumns>
  <tableStyleInfo name="TableStyleMedium2" showFirstColumn="0" showLastColumn="0" showRowStripes="1" showColumnStripes="0"/>
</table>
</file>

<file path=xl/tables/table7.xml><?xml version="1.0" encoding="utf-8"?>
<table xmlns="http://schemas.openxmlformats.org/spreadsheetml/2006/main" id="33" name="Tabla1134" displayName="Tabla1134" ref="C7:H11" totalsRowCount="1" headerRowDxfId="91" dataDxfId="89" headerRowBorderDxfId="90" tableBorderDxfId="88" totalsRowBorderDxfId="87">
  <autoFilter ref="C7:H10"/>
  <tableColumns count="6">
    <tableColumn id="1" name="Tipo de Tratamiento" dataDxfId="86" totalsRowDxfId="85"/>
    <tableColumn id="6" name="Alcance" dataDxfId="84" totalsRowDxfId="83"/>
    <tableColumn id="2" name="Cantidad de personas totales de la organización" dataDxfId="82" totalsRowDxfId="81"/>
    <tableColumn id="5" name="Horas en la organización al día" dataDxfId="80" totalsRowDxfId="79"/>
    <tableColumn id="3" name="Días laborados/año" dataDxfId="78" totalsRowDxfId="77"/>
    <tableColumn id="4" name="kg CH4/año" totalsRowFunction="sum" dataDxfId="76" totalsRowDxfId="75">
      <calculatedColumnFormula>IFERROR((((VLOOKUP('Aguas Residuales'!C8,Factores!B61:C65,2,FALSE)))*'Aguas Residuales'!E8)*((F8/24)*(G8/365)),"")</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34" name="Tabla1235" displayName="Tabla1235" ref="C14:I18" totalsRowCount="1" headerRowDxfId="74" headerRowBorderDxfId="73" tableBorderDxfId="72" totalsRowBorderDxfId="71">
  <autoFilter ref="C14:I17"/>
  <tableColumns count="7">
    <tableColumn id="5" name="Tipo de Tratamiento" totalsRowLabel="Total" dataDxfId="70" totalsRowDxfId="69"/>
    <tableColumn id="6" name="Alcance" dataDxfId="68" totalsRowDxfId="67"/>
    <tableColumn id="1" name="Promedio Caudal Q (m3/dia)" dataDxfId="66" totalsRowDxfId="65"/>
    <tableColumn id="2" name="Concentracion Promedio DQO (mg/L)" dataDxfId="64" totalsRowDxfId="63"/>
    <tableColumn id="7" name="Días de vertido por año" totalsRowDxfId="62"/>
    <tableColumn id="3" name="kg anuales DQO" dataDxfId="61" totalsRowDxfId="60">
      <calculatedColumnFormula>((Tabla1235[[#This Row],[Promedio Caudal Q (m3/dia)]]*Tabla1235[[#This Row],[Concentracion Promedio DQO (mg/L)]])/1000)*Tabla1235[[#This Row],[Días de vertido por año]]</calculatedColumnFormula>
    </tableColumn>
    <tableColumn id="4" name=" kg CH4/año" totalsRowFunction="sum" dataDxfId="59" totalsRowDxfId="58">
      <calculatedColumnFormula>IFERROR(H15*(VLOOKUP(Tabla1235[[#This Row],[Tipo de Tratamiento]],Factores!B69:C72,2,FALSE)),"")</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11" name="Tabla11" displayName="Tabla11" ref="C7:F11" totalsRowCount="1" headerRowDxfId="57" dataDxfId="55" headerRowBorderDxfId="56" tableBorderDxfId="54" totalsRowBorderDxfId="53">
  <autoFilter ref="C7:F10"/>
  <tableColumns count="4">
    <tableColumn id="1" name="Tipo de tratamiento" totalsRowLabel="Total" dataDxfId="52" totalsRowDxfId="3"/>
    <tableColumn id="2" name="Total kg RS por año laborado" totalsRowFunction="sum" dataDxfId="51" totalsRowDxfId="2"/>
    <tableColumn id="3" name=" kg CH4/año" totalsRowFunction="sum" dataDxfId="50" totalsRowDxfId="1">
      <calculatedColumnFormula>(VLOOKUP(Tabla11[[#This Row],[Tipo de tratamiento]],Factores!$B$53:$D$55,2,FALSE)*Tabla11[[#This Row],[Total kg RS por año laborado]])</calculatedColumnFormula>
    </tableColumn>
    <tableColumn id="4" name="kg/N2O/año" totalsRowFunction="sum" dataDxfId="49" totalsRowDxfId="0">
      <calculatedColumnFormula>(VLOOKUP(Tabla11[[#This Row],[Tipo de tratamiento]],Factores!$B$53:$D$55,3,FALSE)*Tabla11[[#This Row],[Total kg RS por año laborado]])</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global.imn.ac.cr/documentos/publicaciones/factoresemision/factoresemision2020/" TargetMode="External"/><Relationship Id="rId1" Type="http://schemas.openxmlformats.org/officeDocument/2006/relationships/hyperlink" Target="http://cglobal.imn.ac.cr/documentos/publicaciones/factoresemision/factoresemision2020/"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drawing" Target="../drawings/drawing5.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drawing" Target="../drawings/drawing6.xml"/><Relationship Id="rId5" Type="http://schemas.openxmlformats.org/officeDocument/2006/relationships/comments" Target="../comments2.xml"/><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vmlDrawing" Target="../drawings/vmlDrawing3.v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Q31"/>
  <sheetViews>
    <sheetView showGridLines="0" showRowColHeaders="0" workbookViewId="0">
      <selection activeCell="C12" sqref="C12:E12"/>
    </sheetView>
  </sheetViews>
  <sheetFormatPr baseColWidth="10" defaultRowHeight="14.25" x14ac:dyDescent="0.2"/>
  <cols>
    <col min="1" max="1" width="2.875" customWidth="1"/>
    <col min="9" max="9" width="18.375" customWidth="1"/>
  </cols>
  <sheetData>
    <row r="2" spans="1:17" x14ac:dyDescent="0.2">
      <c r="A2" s="27"/>
      <c r="B2" s="27"/>
      <c r="C2" s="27"/>
      <c r="E2" s="27"/>
      <c r="F2" s="27"/>
      <c r="G2" s="27"/>
      <c r="H2" s="27"/>
      <c r="I2" s="27"/>
      <c r="J2" s="27"/>
      <c r="K2" s="27"/>
    </row>
    <row r="3" spans="1:17" ht="27" x14ac:dyDescent="0.35">
      <c r="A3" s="180" t="s">
        <v>273</v>
      </c>
      <c r="B3" s="180"/>
      <c r="C3" s="180"/>
      <c r="D3" s="180"/>
      <c r="E3" s="180"/>
      <c r="F3" s="180"/>
      <c r="G3" s="180"/>
      <c r="H3" s="180"/>
      <c r="I3" s="180"/>
      <c r="J3" s="180"/>
      <c r="K3" s="180"/>
      <c r="L3" s="180"/>
      <c r="M3" s="180"/>
      <c r="N3" s="180"/>
      <c r="O3" s="180"/>
      <c r="P3" s="180"/>
      <c r="Q3" s="180"/>
    </row>
    <row r="4" spans="1:17" ht="27" x14ac:dyDescent="0.35">
      <c r="A4" s="28"/>
      <c r="B4" s="28"/>
      <c r="C4" s="28"/>
      <c r="D4" s="28"/>
      <c r="E4" s="28"/>
      <c r="F4" s="28"/>
      <c r="G4" s="28"/>
      <c r="H4" s="28"/>
      <c r="I4" s="28"/>
      <c r="J4" s="28"/>
      <c r="K4" s="27"/>
      <c r="M4" s="167"/>
    </row>
    <row r="5" spans="1:17" ht="27" x14ac:dyDescent="0.35">
      <c r="A5" s="28"/>
      <c r="B5" s="28"/>
      <c r="C5" s="28"/>
      <c r="D5" s="28"/>
      <c r="G5" s="28"/>
      <c r="H5" s="181" t="s">
        <v>86</v>
      </c>
      <c r="I5" s="182"/>
      <c r="J5" s="28"/>
      <c r="K5" s="27"/>
      <c r="L5" s="167"/>
    </row>
    <row r="6" spans="1:17" x14ac:dyDescent="0.2">
      <c r="A6" s="27"/>
      <c r="B6" s="27"/>
      <c r="C6" s="27"/>
      <c r="D6" s="27"/>
      <c r="E6" s="27"/>
      <c r="F6" s="27"/>
      <c r="G6" s="27"/>
      <c r="H6" s="27"/>
    </row>
    <row r="7" spans="1:17" x14ac:dyDescent="0.2">
      <c r="A7" s="27"/>
      <c r="B7" s="27"/>
      <c r="C7" s="27"/>
      <c r="D7" s="27"/>
      <c r="E7" s="27"/>
      <c r="F7" s="27"/>
      <c r="G7" s="185" t="s">
        <v>246</v>
      </c>
      <c r="H7" s="185"/>
      <c r="I7" s="185"/>
      <c r="J7" s="185"/>
      <c r="K7" s="185"/>
      <c r="L7" s="185"/>
      <c r="M7" s="185"/>
      <c r="N7" s="185"/>
      <c r="O7" s="185"/>
      <c r="P7" s="185"/>
      <c r="Q7" s="185"/>
    </row>
    <row r="8" spans="1:17" x14ac:dyDescent="0.2">
      <c r="A8" s="27"/>
      <c r="B8" s="27"/>
      <c r="C8" s="27"/>
      <c r="D8" s="27"/>
      <c r="E8" s="27"/>
      <c r="F8" s="27"/>
      <c r="G8" s="185"/>
      <c r="H8" s="185"/>
      <c r="I8" s="185"/>
      <c r="J8" s="185"/>
      <c r="K8" s="185"/>
      <c r="L8" s="185"/>
      <c r="M8" s="185"/>
      <c r="N8" s="185"/>
      <c r="O8" s="185"/>
      <c r="P8" s="185"/>
      <c r="Q8" s="185"/>
    </row>
    <row r="9" spans="1:17" x14ac:dyDescent="0.2">
      <c r="A9" s="27"/>
      <c r="B9" s="27"/>
      <c r="C9" s="27"/>
      <c r="D9" s="27"/>
      <c r="E9" s="27"/>
      <c r="F9" s="27"/>
      <c r="G9" s="27"/>
      <c r="H9" s="27"/>
    </row>
    <row r="10" spans="1:17" ht="23.25" x14ac:dyDescent="0.35">
      <c r="A10" s="27"/>
      <c r="B10" s="27"/>
      <c r="C10" s="27"/>
      <c r="D10" s="27"/>
      <c r="E10" s="27"/>
      <c r="F10" s="27"/>
      <c r="G10" s="183" t="s">
        <v>245</v>
      </c>
      <c r="H10" s="183"/>
      <c r="I10" s="183"/>
      <c r="K10" s="186" t="s">
        <v>2</v>
      </c>
      <c r="L10" s="186"/>
      <c r="M10" s="186"/>
      <c r="O10" s="179" t="s">
        <v>174</v>
      </c>
      <c r="P10" s="179"/>
      <c r="Q10" s="179"/>
    </row>
    <row r="11" spans="1:17" ht="23.25" x14ac:dyDescent="0.35">
      <c r="A11" s="27"/>
      <c r="B11" s="27"/>
      <c r="C11" s="184" t="s">
        <v>173</v>
      </c>
      <c r="D11" s="184"/>
      <c r="E11" s="184"/>
      <c r="F11" s="27"/>
      <c r="G11" s="183" t="s">
        <v>88</v>
      </c>
      <c r="H11" s="183"/>
      <c r="I11" s="183"/>
      <c r="K11" s="186" t="s">
        <v>195</v>
      </c>
      <c r="L11" s="186"/>
      <c r="M11" s="186"/>
      <c r="O11" s="179" t="s">
        <v>89</v>
      </c>
      <c r="P11" s="179"/>
      <c r="Q11" s="179"/>
    </row>
    <row r="12" spans="1:17" ht="23.25" x14ac:dyDescent="0.35">
      <c r="A12" s="27"/>
      <c r="B12" s="27"/>
      <c r="C12" s="184" t="s">
        <v>28</v>
      </c>
      <c r="D12" s="184"/>
      <c r="E12" s="184"/>
      <c r="F12" s="27"/>
      <c r="G12" s="183" t="s">
        <v>87</v>
      </c>
      <c r="H12" s="183"/>
      <c r="I12" s="183"/>
    </row>
    <row r="13" spans="1:17" x14ac:dyDescent="0.2">
      <c r="A13" s="27"/>
      <c r="B13" s="27"/>
      <c r="F13" s="27"/>
      <c r="G13" s="27"/>
      <c r="H13" s="27"/>
    </row>
    <row r="14" spans="1:17" x14ac:dyDescent="0.2">
      <c r="A14" s="27"/>
      <c r="B14" s="27"/>
      <c r="C14" s="27"/>
      <c r="D14" s="27"/>
      <c r="E14" s="27"/>
      <c r="F14" s="27"/>
      <c r="G14" s="27"/>
      <c r="H14" s="27"/>
    </row>
    <row r="15" spans="1:17" x14ac:dyDescent="0.2">
      <c r="A15" s="27"/>
      <c r="B15" s="27"/>
      <c r="C15" s="27"/>
      <c r="D15" s="27"/>
      <c r="E15" s="27"/>
      <c r="F15" s="27"/>
      <c r="G15" s="27"/>
      <c r="H15" s="27"/>
    </row>
    <row r="16" spans="1:17" x14ac:dyDescent="0.2">
      <c r="A16" s="27"/>
      <c r="B16" s="27"/>
      <c r="C16" s="27"/>
      <c r="D16" s="27"/>
      <c r="E16" s="27"/>
      <c r="F16" s="27"/>
      <c r="H16" s="27"/>
      <c r="I16" s="29"/>
    </row>
    <row r="17" spans="1:14" x14ac:dyDescent="0.2">
      <c r="A17" s="27"/>
      <c r="B17" s="27"/>
      <c r="C17" s="27"/>
      <c r="D17" s="27"/>
      <c r="E17" s="27"/>
      <c r="F17" s="27"/>
      <c r="G17" s="27"/>
      <c r="H17" s="27"/>
    </row>
    <row r="18" spans="1:14" x14ac:dyDescent="0.2">
      <c r="A18" s="27"/>
      <c r="B18" s="27"/>
      <c r="C18" s="27"/>
      <c r="D18" s="27"/>
      <c r="E18" s="27"/>
      <c r="F18" s="27"/>
      <c r="G18" s="27"/>
      <c r="H18" s="27"/>
    </row>
    <row r="19" spans="1:14" x14ac:dyDescent="0.2">
      <c r="A19" s="27"/>
      <c r="B19" s="27"/>
      <c r="C19" s="27"/>
      <c r="D19" s="27"/>
      <c r="E19" s="27"/>
      <c r="F19" s="27"/>
      <c r="G19" s="27"/>
      <c r="H19" s="27"/>
    </row>
    <row r="20" spans="1:14" x14ac:dyDescent="0.2">
      <c r="A20" s="27"/>
      <c r="B20" s="27"/>
      <c r="C20" s="27"/>
      <c r="D20" s="27"/>
      <c r="E20" s="27"/>
      <c r="F20" s="27"/>
      <c r="G20" s="27"/>
      <c r="H20" s="27"/>
    </row>
    <row r="21" spans="1:14" x14ac:dyDescent="0.2">
      <c r="A21" s="27"/>
      <c r="B21" s="27"/>
      <c r="C21" s="27"/>
      <c r="D21" s="27"/>
      <c r="E21" s="27"/>
      <c r="F21" s="27"/>
      <c r="G21" s="27"/>
      <c r="H21" s="27"/>
    </row>
    <row r="22" spans="1:14" x14ac:dyDescent="0.2">
      <c r="A22" s="27"/>
      <c r="B22" s="27"/>
      <c r="C22" s="27"/>
      <c r="D22" s="27"/>
      <c r="E22" s="27"/>
      <c r="F22" s="27"/>
      <c r="G22" s="27"/>
      <c r="H22" s="27"/>
    </row>
    <row r="23" spans="1:14" x14ac:dyDescent="0.2">
      <c r="A23" s="27"/>
      <c r="B23" s="27"/>
      <c r="C23" s="27"/>
      <c r="D23" s="27"/>
      <c r="E23" s="27"/>
      <c r="F23" s="27"/>
      <c r="G23" s="27"/>
      <c r="H23" s="27"/>
    </row>
    <row r="24" spans="1:14" x14ac:dyDescent="0.2">
      <c r="A24" s="27"/>
      <c r="B24" s="27"/>
      <c r="C24" s="27"/>
      <c r="D24" s="27"/>
      <c r="E24" s="27"/>
      <c r="F24" s="27"/>
      <c r="G24" s="27"/>
      <c r="H24" s="27"/>
      <c r="I24" s="27"/>
      <c r="J24" s="27"/>
      <c r="K24" s="27"/>
    </row>
    <row r="25" spans="1:14" x14ac:dyDescent="0.2">
      <c r="A25" s="27"/>
      <c r="B25" s="27"/>
      <c r="C25" s="27"/>
      <c r="D25" s="27"/>
      <c r="E25" s="27"/>
      <c r="F25" s="27"/>
      <c r="G25" s="27"/>
      <c r="H25" s="170" t="s">
        <v>247</v>
      </c>
      <c r="I25" s="171"/>
      <c r="J25" s="171"/>
      <c r="K25" s="171"/>
      <c r="L25" s="171"/>
      <c r="M25" s="171"/>
      <c r="N25" s="172"/>
    </row>
    <row r="26" spans="1:14" x14ac:dyDescent="0.2">
      <c r="A26" s="27"/>
      <c r="B26" s="27"/>
      <c r="C26" s="27"/>
      <c r="D26" s="27"/>
      <c r="E26" s="27"/>
      <c r="F26" s="27"/>
      <c r="G26" s="27"/>
      <c r="H26" s="173"/>
      <c r="I26" s="174"/>
      <c r="J26" s="174"/>
      <c r="K26" s="174"/>
      <c r="L26" s="174"/>
      <c r="M26" s="174"/>
      <c r="N26" s="175"/>
    </row>
    <row r="27" spans="1:14" x14ac:dyDescent="0.2">
      <c r="A27" s="27"/>
      <c r="B27" s="27"/>
      <c r="C27" s="27"/>
      <c r="D27" s="27"/>
      <c r="E27" s="27"/>
      <c r="F27" s="27"/>
      <c r="G27" s="27"/>
      <c r="H27" s="173"/>
      <c r="I27" s="174"/>
      <c r="J27" s="174"/>
      <c r="K27" s="174"/>
      <c r="L27" s="174"/>
      <c r="M27" s="174"/>
      <c r="N27" s="175"/>
    </row>
    <row r="28" spans="1:14" x14ac:dyDescent="0.2">
      <c r="A28" s="27"/>
      <c r="B28" s="27"/>
      <c r="C28" s="27"/>
      <c r="D28" s="27"/>
      <c r="E28" s="27"/>
      <c r="F28" s="27"/>
      <c r="G28" s="27"/>
      <c r="H28" s="176"/>
      <c r="I28" s="177"/>
      <c r="J28" s="177"/>
      <c r="K28" s="177"/>
      <c r="L28" s="177"/>
      <c r="M28" s="177"/>
      <c r="N28" s="178"/>
    </row>
    <row r="29" spans="1:14" x14ac:dyDescent="0.2">
      <c r="A29" s="27"/>
      <c r="B29" s="27"/>
      <c r="C29" s="27"/>
      <c r="D29" s="27"/>
      <c r="E29" s="27"/>
      <c r="F29" s="27"/>
      <c r="G29" s="27"/>
      <c r="H29" s="27"/>
      <c r="I29" s="27"/>
      <c r="J29" s="27"/>
      <c r="K29" s="27"/>
    </row>
    <row r="30" spans="1:14" x14ac:dyDescent="0.2">
      <c r="A30" s="27"/>
      <c r="B30" s="27"/>
      <c r="C30" s="27"/>
      <c r="D30" s="27"/>
      <c r="E30" s="27"/>
      <c r="F30" s="27"/>
      <c r="G30" s="27"/>
      <c r="H30" s="27"/>
      <c r="I30" s="27"/>
      <c r="J30" s="27"/>
      <c r="K30" s="27"/>
    </row>
    <row r="31" spans="1:14" x14ac:dyDescent="0.2">
      <c r="A31" s="27"/>
      <c r="B31" s="27"/>
      <c r="C31" s="27"/>
      <c r="D31" s="27"/>
      <c r="E31" s="27"/>
      <c r="F31" s="27"/>
    </row>
  </sheetData>
  <mergeCells count="13">
    <mergeCell ref="H25:N28"/>
    <mergeCell ref="O11:Q11"/>
    <mergeCell ref="A3:Q3"/>
    <mergeCell ref="H5:I5"/>
    <mergeCell ref="G11:I11"/>
    <mergeCell ref="C11:E11"/>
    <mergeCell ref="O10:Q10"/>
    <mergeCell ref="G7:Q8"/>
    <mergeCell ref="K11:M11"/>
    <mergeCell ref="G12:I12"/>
    <mergeCell ref="C12:E12"/>
    <mergeCell ref="G10:I10"/>
    <mergeCell ref="K10:M10"/>
  </mergeCells>
  <hyperlinks>
    <hyperlink ref="H5:I5" location="Datos!A1" display="Datos Generales"/>
    <hyperlink ref="C11" location="'AAc vehículos-Recargas'!A1" display="Recargas Autos"/>
    <hyperlink ref="C12" location="'Recargas-Extintores'!A1" display="Recargas Extintores"/>
    <hyperlink ref="C11:E11" location="'Instrucciones y autoría'!A1" display="Instrucciones"/>
    <hyperlink ref="C12:E12" location="Factores!A1" display="Factores de Emision"/>
    <hyperlink ref="G11:I11" location="Combustible!A1" display="Combustible"/>
    <hyperlink ref="G10:I10" location="'Emisiones Gases Refrigerantes'!A1" display="Gases Refrigerantes"/>
    <hyperlink ref="K10:M10" location="Electricidad!A1" display="Electricidad"/>
    <hyperlink ref="O11:Q11" location="Residuos!A1" display="Residuos Ordinarios"/>
    <hyperlink ref="G12:I12" location="'Uso de Lubricantes'!A1" display="Aceite Lubricante"/>
    <hyperlink ref="O10:Q10" location="'Aguas Residuales'!A1" display="Aguas Residuales"/>
    <hyperlink ref="K11:M11" location="'Otras Emisiones'!A1" display="Otras emisiones"/>
    <hyperlink ref="H25:N28" location="Cálculo!A1" display="Resumen de emisiones "/>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M34"/>
  <sheetViews>
    <sheetView showGridLines="0" showRowColHeaders="0" workbookViewId="0">
      <selection activeCell="D31" sqref="D31:F32"/>
    </sheetView>
  </sheetViews>
  <sheetFormatPr baseColWidth="10" defaultRowHeight="14.25" x14ac:dyDescent="0.2"/>
  <cols>
    <col min="2" max="2" width="33" bestFit="1" customWidth="1"/>
    <col min="3" max="3" width="22" bestFit="1" customWidth="1"/>
    <col min="4" max="4" width="19.625" bestFit="1" customWidth="1"/>
    <col min="7" max="7" width="13.625" bestFit="1" customWidth="1"/>
    <col min="8" max="8" width="31.875" customWidth="1"/>
    <col min="9" max="9" width="14.875" customWidth="1"/>
    <col min="10" max="10" width="26.25" customWidth="1"/>
  </cols>
  <sheetData>
    <row r="2" spans="1:13" ht="23.25" x14ac:dyDescent="0.35">
      <c r="B2" s="227" t="s">
        <v>160</v>
      </c>
      <c r="C2" s="227"/>
      <c r="D2" s="227"/>
      <c r="E2" s="227"/>
      <c r="F2" s="227"/>
      <c r="G2" s="227"/>
      <c r="H2" s="227"/>
      <c r="I2" s="227"/>
      <c r="J2" s="227"/>
      <c r="K2" s="227"/>
      <c r="L2" s="227"/>
      <c r="M2" s="227"/>
    </row>
    <row r="4" spans="1:13" ht="15" x14ac:dyDescent="0.2">
      <c r="A4" s="230" t="s">
        <v>182</v>
      </c>
      <c r="B4" s="230"/>
      <c r="C4" s="230"/>
      <c r="D4" s="230"/>
      <c r="E4" s="230"/>
      <c r="F4" s="230"/>
      <c r="G4" s="230"/>
      <c r="H4" s="230"/>
      <c r="I4" s="230"/>
      <c r="J4" s="230"/>
      <c r="K4" s="230"/>
      <c r="L4" s="230"/>
      <c r="M4" s="230"/>
    </row>
    <row r="5" spans="1:13" x14ac:dyDescent="0.2">
      <c r="A5" s="231" t="s">
        <v>268</v>
      </c>
      <c r="B5" s="231"/>
      <c r="C5" s="231"/>
      <c r="D5" s="231"/>
      <c r="E5" s="231"/>
      <c r="F5" s="231"/>
      <c r="G5" s="231"/>
      <c r="H5" s="231"/>
      <c r="I5" s="231"/>
      <c r="J5" s="231"/>
      <c r="K5" s="231"/>
      <c r="L5" s="231"/>
      <c r="M5" s="231"/>
    </row>
    <row r="6" spans="1:13" x14ac:dyDescent="0.2">
      <c r="A6" s="123"/>
      <c r="B6" s="123"/>
      <c r="C6" s="123"/>
      <c r="D6" s="123"/>
      <c r="E6" s="123"/>
      <c r="F6" s="123"/>
      <c r="G6" s="123"/>
      <c r="H6" s="123"/>
      <c r="I6" s="123"/>
      <c r="J6" s="123"/>
      <c r="K6" s="123"/>
      <c r="L6" s="123"/>
      <c r="M6" s="123"/>
    </row>
    <row r="7" spans="1:13" s="85" customFormat="1" ht="23.25" x14ac:dyDescent="0.35">
      <c r="A7" s="120" t="s">
        <v>269</v>
      </c>
      <c r="B7" s="84"/>
      <c r="C7" s="84"/>
      <c r="D7" s="84"/>
      <c r="E7" s="121"/>
      <c r="F7" s="120" t="s">
        <v>270</v>
      </c>
    </row>
    <row r="8" spans="1:13" x14ac:dyDescent="0.2">
      <c r="E8" s="122"/>
    </row>
    <row r="9" spans="1:13" ht="35.25" customHeight="1" x14ac:dyDescent="0.2">
      <c r="B9" s="92" t="s">
        <v>159</v>
      </c>
      <c r="C9" s="130" t="s">
        <v>172</v>
      </c>
      <c r="D9" s="130" t="s">
        <v>199</v>
      </c>
      <c r="E9" s="122"/>
      <c r="G9" s="92" t="s">
        <v>159</v>
      </c>
      <c r="H9" s="92" t="s">
        <v>180</v>
      </c>
      <c r="I9" s="92" t="s">
        <v>181</v>
      </c>
      <c r="J9" s="130" t="s">
        <v>200</v>
      </c>
      <c r="K9" s="130"/>
    </row>
    <row r="10" spans="1:13" x14ac:dyDescent="0.2">
      <c r="B10" s="11"/>
      <c r="C10" s="11"/>
      <c r="D10" s="129" t="str">
        <f>IFERROR((Tabla1[[#This Row],[Fuga Anual (gramos/año)]]*(VLOOKUP(Tabla1[[#This Row],[Tipo de Gas]],Tabla94[],2,FALSE)))/1000000,"")</f>
        <v/>
      </c>
      <c r="E10" s="122"/>
      <c r="G10" s="11"/>
      <c r="H10" s="11"/>
      <c r="I10">
        <f>Tabla17[[#This Row],[Cantidad en Inventario (gramos)]]*0.1</f>
        <v>0</v>
      </c>
      <c r="J10" s="129" t="str">
        <f>(IFERROR((Tabla17[[#This Row],[Fuga Teorica de 10% (gr)]]*(VLOOKUP(Tabla17[[#This Row],[Tipo de Gas]],Tabla94[],2,FALSE)))/1000000,""))</f>
        <v/>
      </c>
    </row>
    <row r="11" spans="1:13" x14ac:dyDescent="0.2">
      <c r="B11" s="11"/>
      <c r="C11" s="11"/>
      <c r="D11" s="129" t="str">
        <f>IFERROR((Tabla1[[#This Row],[Fuga Anual (gramos/año)]]*(VLOOKUP(Tabla1[[#This Row],[Tipo de Gas]],Tabla94[],2,FALSE)))/1000000,"")</f>
        <v/>
      </c>
      <c r="E11" s="122"/>
      <c r="G11" s="11"/>
      <c r="H11" s="11"/>
      <c r="I11">
        <f>Tabla17[[#This Row],[Cantidad en Inventario (gramos)]]*0.1</f>
        <v>0</v>
      </c>
      <c r="J11" s="129" t="str">
        <f>(IFERROR((Tabla17[[#This Row],[Fuga Teorica de 10% (gr)]]*(VLOOKUP(Tabla17[[#This Row],[Tipo de Gas]],Tabla94[],2,FALSE)))/1000000,""))</f>
        <v/>
      </c>
    </row>
    <row r="12" spans="1:13" x14ac:dyDescent="0.2">
      <c r="B12" s="11"/>
      <c r="C12" s="11"/>
      <c r="D12" s="129" t="str">
        <f>IFERROR((Tabla1[[#This Row],[Fuga Anual (gramos/año)]]*(VLOOKUP(Tabla1[[#This Row],[Tipo de Gas]],Tabla94[],2,FALSE)))/1000000,"")</f>
        <v/>
      </c>
      <c r="E12" s="122"/>
      <c r="G12" s="11"/>
      <c r="H12" s="11"/>
      <c r="I12">
        <f>Tabla17[[#This Row],[Cantidad en Inventario (gramos)]]*0.1</f>
        <v>0</v>
      </c>
      <c r="J12" s="129" t="str">
        <f>(IFERROR((Tabla17[[#This Row],[Fuga Teorica de 10% (gr)]]*(VLOOKUP(Tabla17[[#This Row],[Tipo de Gas]],Tabla94[],2,FALSE)))/1000000,""))</f>
        <v/>
      </c>
    </row>
    <row r="13" spans="1:13" x14ac:dyDescent="0.2">
      <c r="B13" s="11"/>
      <c r="C13" s="11"/>
      <c r="D13" s="129" t="str">
        <f>IFERROR((Tabla1[[#This Row],[Fuga Anual (gramos/año)]]*(VLOOKUP(Tabla1[[#This Row],[Tipo de Gas]],Tabla94[],2,FALSE)))/1000000,"")</f>
        <v/>
      </c>
      <c r="E13" s="122"/>
      <c r="G13" s="11"/>
      <c r="H13" s="11"/>
      <c r="I13">
        <f>Tabla17[[#This Row],[Cantidad en Inventario (gramos)]]*0.1</f>
        <v>0</v>
      </c>
      <c r="J13" s="129" t="str">
        <f>(IFERROR((Tabla17[[#This Row],[Fuga Teorica de 10% (gr)]]*(VLOOKUP(Tabla17[[#This Row],[Tipo de Gas]],Tabla94[],2,FALSE)))/1000000,""))</f>
        <v/>
      </c>
    </row>
    <row r="14" spans="1:13" x14ac:dyDescent="0.2">
      <c r="B14" s="11"/>
      <c r="C14" s="11"/>
      <c r="D14" s="129" t="str">
        <f>IFERROR((Tabla1[[#This Row],[Fuga Anual (gramos/año)]]*(VLOOKUP(Tabla1[[#This Row],[Tipo de Gas]],Tabla94[],2,FALSE)))/1000000,"")</f>
        <v/>
      </c>
      <c r="E14" s="122"/>
      <c r="G14" s="11"/>
      <c r="H14" s="11"/>
      <c r="I14">
        <f>Tabla17[[#This Row],[Cantidad en Inventario (gramos)]]*0.1</f>
        <v>0</v>
      </c>
      <c r="J14" s="129" t="str">
        <f>(IFERROR((Tabla17[[#This Row],[Fuga Teorica de 10% (gr)]]*(VLOOKUP(Tabla17[[#This Row],[Tipo de Gas]],Tabla94[],2,FALSE)))/1000000,""))</f>
        <v/>
      </c>
    </row>
    <row r="15" spans="1:13" x14ac:dyDescent="0.2">
      <c r="B15" s="11"/>
      <c r="C15" s="11"/>
      <c r="D15" s="129" t="str">
        <f>IFERROR((Tabla1[[#This Row],[Fuga Anual (gramos/año)]]*(VLOOKUP(Tabla1[[#This Row],[Tipo de Gas]],Tabla94[],2,FALSE)))/1000000,"")</f>
        <v/>
      </c>
      <c r="E15" s="122"/>
      <c r="G15" s="11"/>
      <c r="H15" s="11"/>
      <c r="I15">
        <f>Tabla17[[#This Row],[Cantidad en Inventario (gramos)]]*0.1</f>
        <v>0</v>
      </c>
      <c r="J15" s="129" t="str">
        <f>(IFERROR((Tabla17[[#This Row],[Fuga Teorica de 10% (gr)]]*(VLOOKUP(Tabla17[[#This Row],[Tipo de Gas]],Tabla94[],2,FALSE)))/1000000,""))</f>
        <v/>
      </c>
    </row>
    <row r="16" spans="1:13" x14ac:dyDescent="0.2">
      <c r="B16" s="11"/>
      <c r="C16" s="11"/>
      <c r="D16" s="129" t="str">
        <f>IFERROR((Tabla1[[#This Row],[Fuga Anual (gramos/año)]]*(VLOOKUP(Tabla1[[#This Row],[Tipo de Gas]],Tabla94[],2,FALSE)))/1000000,"")</f>
        <v/>
      </c>
      <c r="E16" s="122"/>
      <c r="G16" s="11"/>
      <c r="H16" s="11"/>
      <c r="I16">
        <f>Tabla17[[#This Row],[Cantidad en Inventario (gramos)]]*0.1</f>
        <v>0</v>
      </c>
      <c r="J16" s="129" t="str">
        <f>(IFERROR((Tabla17[[#This Row],[Fuga Teorica de 10% (gr)]]*(VLOOKUP(Tabla17[[#This Row],[Tipo de Gas]],Tabla94[],2,FALSE)))/1000000,""))</f>
        <v/>
      </c>
    </row>
    <row r="17" spans="2:10" x14ac:dyDescent="0.2">
      <c r="B17" s="11"/>
      <c r="C17" s="11"/>
      <c r="D17" s="129" t="str">
        <f>IFERROR((Tabla1[[#This Row],[Fuga Anual (gramos/año)]]*(VLOOKUP(Tabla1[[#This Row],[Tipo de Gas]],Tabla94[],2,FALSE)))/1000000,"")</f>
        <v/>
      </c>
      <c r="E17" s="122"/>
      <c r="G17" s="11"/>
      <c r="H17" s="11"/>
      <c r="I17">
        <f>Tabla17[[#This Row],[Cantidad en Inventario (gramos)]]*0.1</f>
        <v>0</v>
      </c>
      <c r="J17" s="129" t="str">
        <f>(IFERROR((Tabla17[[#This Row],[Fuga Teorica de 10% (gr)]]*(VLOOKUP(Tabla17[[#This Row],[Tipo de Gas]],Tabla94[],2,FALSE)))/1000000,""))</f>
        <v/>
      </c>
    </row>
    <row r="18" spans="2:10" x14ac:dyDescent="0.2">
      <c r="B18" s="11"/>
      <c r="C18" s="11"/>
      <c r="D18" s="129" t="str">
        <f>IFERROR((Tabla1[[#This Row],[Fuga Anual (gramos/año)]]*(VLOOKUP(Tabla1[[#This Row],[Tipo de Gas]],Tabla94[],2,FALSE)))/1000000,"")</f>
        <v/>
      </c>
      <c r="E18" s="122"/>
      <c r="G18" s="11"/>
      <c r="H18" s="11"/>
      <c r="I18">
        <f>Tabla17[[#This Row],[Cantidad en Inventario (gramos)]]*0.1</f>
        <v>0</v>
      </c>
      <c r="J18" s="129" t="str">
        <f>(IFERROR((Tabla17[[#This Row],[Fuga Teorica de 10% (gr)]]*(VLOOKUP(Tabla17[[#This Row],[Tipo de Gas]],Tabla94[],2,FALSE)))/1000000,""))</f>
        <v/>
      </c>
    </row>
    <row r="19" spans="2:10" x14ac:dyDescent="0.2">
      <c r="B19" s="11"/>
      <c r="C19" s="11"/>
      <c r="D19" s="129" t="str">
        <f>IFERROR((Tabla1[[#This Row],[Fuga Anual (gramos/año)]]*(VLOOKUP(Tabla1[[#This Row],[Tipo de Gas]],Tabla94[],2,FALSE)))/1000000,"")</f>
        <v/>
      </c>
      <c r="E19" s="122"/>
      <c r="G19" s="11"/>
      <c r="H19" s="11"/>
      <c r="I19">
        <f>Tabla17[[#This Row],[Cantidad en Inventario (gramos)]]*0.1</f>
        <v>0</v>
      </c>
      <c r="J19" s="129" t="str">
        <f>(IFERROR((Tabla17[[#This Row],[Fuga Teorica de 10% (gr)]]*(VLOOKUP(Tabla17[[#This Row],[Tipo de Gas]],Tabla94[],2,FALSE)))/1000000,""))</f>
        <v/>
      </c>
    </row>
    <row r="20" spans="2:10" x14ac:dyDescent="0.2">
      <c r="B20" s="11"/>
      <c r="C20" s="11"/>
      <c r="D20" s="129" t="str">
        <f>IFERROR((Tabla1[[#This Row],[Fuga Anual (gramos/año)]]*(VLOOKUP(Tabla1[[#This Row],[Tipo de Gas]],Tabla94[],2,FALSE)))/1000000,"")</f>
        <v/>
      </c>
      <c r="E20" s="122"/>
      <c r="G20" s="11"/>
      <c r="H20" s="11"/>
      <c r="I20">
        <f>Tabla17[[#This Row],[Cantidad en Inventario (gramos)]]*0.1</f>
        <v>0</v>
      </c>
      <c r="J20" s="129" t="str">
        <f>(IFERROR((Tabla17[[#This Row],[Fuga Teorica de 10% (gr)]]*(VLOOKUP(Tabla17[[#This Row],[Tipo de Gas]],Tabla94[],2,FALSE)))/1000000,""))</f>
        <v/>
      </c>
    </row>
    <row r="21" spans="2:10" x14ac:dyDescent="0.2">
      <c r="B21" s="11"/>
      <c r="C21" s="11"/>
      <c r="D21" s="129" t="str">
        <f>IFERROR((Tabla1[[#This Row],[Fuga Anual (gramos/año)]]*(VLOOKUP(Tabla1[[#This Row],[Tipo de Gas]],Tabla94[],2,FALSE)))/1000000,"")</f>
        <v/>
      </c>
      <c r="E21" s="122"/>
      <c r="G21" s="11"/>
      <c r="H21" s="11"/>
      <c r="I21">
        <f>Tabla17[[#This Row],[Cantidad en Inventario (gramos)]]*0.1</f>
        <v>0</v>
      </c>
      <c r="J21" s="129" t="str">
        <f>(IFERROR((Tabla17[[#This Row],[Fuga Teorica de 10% (gr)]]*(VLOOKUP(Tabla17[[#This Row],[Tipo de Gas]],Tabla94[],2,FALSE)))/1000000,""))</f>
        <v/>
      </c>
    </row>
    <row r="22" spans="2:10" x14ac:dyDescent="0.2">
      <c r="B22" s="11"/>
      <c r="C22" s="11"/>
      <c r="D22" s="129" t="str">
        <f>IFERROR((Tabla1[[#This Row],[Fuga Anual (gramos/año)]]*(VLOOKUP(Tabla1[[#This Row],[Tipo de Gas]],Tabla94[],2,FALSE)))/1000000,"")</f>
        <v/>
      </c>
      <c r="E22" s="122"/>
      <c r="G22" s="11"/>
      <c r="H22" s="11"/>
      <c r="I22">
        <f>Tabla17[[#This Row],[Cantidad en Inventario (gramos)]]*0.1</f>
        <v>0</v>
      </c>
      <c r="J22" s="129" t="str">
        <f>(IFERROR((Tabla17[[#This Row],[Fuga Teorica de 10% (gr)]]*(VLOOKUP(Tabla17[[#This Row],[Tipo de Gas]],Tabla94[],2,FALSE)))/1000000,""))</f>
        <v/>
      </c>
    </row>
    <row r="23" spans="2:10" x14ac:dyDescent="0.2">
      <c r="B23" s="11"/>
      <c r="C23" s="11"/>
      <c r="D23" s="129" t="str">
        <f>IFERROR((Tabla1[[#This Row],[Fuga Anual (gramos/año)]]*(VLOOKUP(Tabla1[[#This Row],[Tipo de Gas]],Tabla94[],2,FALSE)))/1000000,"")</f>
        <v/>
      </c>
      <c r="E23" s="122"/>
      <c r="G23" s="11"/>
      <c r="H23" s="11"/>
      <c r="I23">
        <f>Tabla17[[#This Row],[Cantidad en Inventario (gramos)]]*0.1</f>
        <v>0</v>
      </c>
      <c r="J23" s="129" t="str">
        <f>(IFERROR((Tabla17[[#This Row],[Fuga Teorica de 10% (gr)]]*(VLOOKUP(Tabla17[[#This Row],[Tipo de Gas]],Tabla94[],2,FALSE)))/1000000,""))</f>
        <v/>
      </c>
    </row>
    <row r="24" spans="2:10" x14ac:dyDescent="0.2">
      <c r="B24" s="11"/>
      <c r="C24" s="11"/>
      <c r="D24" s="129" t="str">
        <f>IFERROR((Tabla1[[#This Row],[Fuga Anual (gramos/año)]]*(VLOOKUP(Tabla1[[#This Row],[Tipo de Gas]],Tabla94[],2,FALSE)))/1000000,"")</f>
        <v/>
      </c>
      <c r="E24" s="122"/>
      <c r="G24" s="11"/>
      <c r="H24" s="11"/>
      <c r="I24">
        <f>Tabla17[[#This Row],[Cantidad en Inventario (gramos)]]*0.1</f>
        <v>0</v>
      </c>
      <c r="J24" s="129" t="str">
        <f>(IFERROR((Tabla17[[#This Row],[Fuga Teorica de 10% (gr)]]*(VLOOKUP(Tabla17[[#This Row],[Tipo de Gas]],Tabla94[],2,FALSE)))/1000000,""))</f>
        <v/>
      </c>
    </row>
    <row r="25" spans="2:10" x14ac:dyDescent="0.2">
      <c r="B25" s="11"/>
      <c r="C25" s="11"/>
      <c r="D25" s="129" t="str">
        <f>IFERROR((Tabla1[[#This Row],[Fuga Anual (gramos/año)]]*(VLOOKUP(Tabla1[[#This Row],[Tipo de Gas]],Tabla94[],2,FALSE)))/1000000,"")</f>
        <v/>
      </c>
      <c r="E25" s="122"/>
      <c r="G25" s="11"/>
      <c r="H25" s="11"/>
      <c r="I25">
        <f>Tabla17[[#This Row],[Cantidad en Inventario (gramos)]]*0.1</f>
        <v>0</v>
      </c>
      <c r="J25" s="129" t="str">
        <f>(IFERROR((Tabla17[[#This Row],[Fuga Teorica de 10% (gr)]]*(VLOOKUP(Tabla17[[#This Row],[Tipo de Gas]],Tabla94[],2,FALSE)))/1000000,""))</f>
        <v/>
      </c>
    </row>
    <row r="26" spans="2:10" x14ac:dyDescent="0.2">
      <c r="B26" s="11"/>
      <c r="C26" s="11"/>
      <c r="D26" s="129" t="str">
        <f>IFERROR((Tabla1[[#This Row],[Fuga Anual (gramos/año)]]*(VLOOKUP(Tabla1[[#This Row],[Tipo de Gas]],Tabla94[],2,FALSE)))/1000000,"")</f>
        <v/>
      </c>
      <c r="E26" s="122"/>
      <c r="G26" s="11"/>
      <c r="H26" s="11"/>
      <c r="I26">
        <f>Tabla17[[#This Row],[Cantidad en Inventario (gramos)]]*0.1</f>
        <v>0</v>
      </c>
      <c r="J26" s="129" t="str">
        <f>(IFERROR((Tabla17[[#This Row],[Fuga Teorica de 10% (gr)]]*(VLOOKUP(Tabla17[[#This Row],[Tipo de Gas]],Tabla94[],2,FALSE)))/1000000,""))</f>
        <v/>
      </c>
    </row>
    <row r="27" spans="2:10" x14ac:dyDescent="0.2">
      <c r="B27" s="11"/>
      <c r="C27" s="11"/>
      <c r="D27" s="129" t="str">
        <f>IFERROR((Tabla1[[#This Row],[Fuga Anual (gramos/año)]]*(VLOOKUP(Tabla1[[#This Row],[Tipo de Gas]],Tabla94[],2,FALSE)))/1000000,"")</f>
        <v/>
      </c>
      <c r="E27" s="122"/>
      <c r="G27" s="11"/>
      <c r="H27" s="11"/>
      <c r="I27">
        <f>Tabla17[[#This Row],[Cantidad en Inventario (gramos)]]*0.1</f>
        <v>0</v>
      </c>
      <c r="J27" s="129" t="str">
        <f>(IFERROR((Tabla17[[#This Row],[Fuga Teorica de 10% (gr)]]*(VLOOKUP(Tabla17[[#This Row],[Tipo de Gas]],Tabla94[],2,FALSE)))/1000000,""))</f>
        <v/>
      </c>
    </row>
    <row r="28" spans="2:10" x14ac:dyDescent="0.2">
      <c r="B28" t="s">
        <v>146</v>
      </c>
      <c r="C28">
        <f>SUBTOTAL(109,Tabla1[Fuga Anual (gramos/año)])</f>
        <v>0</v>
      </c>
      <c r="D28">
        <f>SUBTOTAL(109,Tabla1[Fuga Anual (Ton/CO2e)])</f>
        <v>0</v>
      </c>
      <c r="E28" s="122"/>
      <c r="G28" t="s">
        <v>146</v>
      </c>
      <c r="H28">
        <f>SUBTOTAL(109,Tabla17[Cantidad en Inventario (gramos)])</f>
        <v>0</v>
      </c>
      <c r="I28">
        <f>SUBTOTAL(109,Tabla17[Fuga Teorica de 10% (gr)])</f>
        <v>0</v>
      </c>
      <c r="J28" s="129">
        <f>SUBTOTAL(109,Tabla17[Fuga Teorica Anual (Ton/CO2e)])</f>
        <v>0</v>
      </c>
    </row>
    <row r="31" spans="2:10" x14ac:dyDescent="0.2">
      <c r="D31" s="193" t="s">
        <v>248</v>
      </c>
      <c r="E31" s="193"/>
      <c r="F31" s="193"/>
    </row>
    <row r="32" spans="2:10" x14ac:dyDescent="0.2">
      <c r="D32" s="193"/>
      <c r="E32" s="193"/>
      <c r="F32" s="193"/>
    </row>
    <row r="34" spans="4:6" ht="18.75" x14ac:dyDescent="0.2">
      <c r="D34" s="222" t="s">
        <v>263</v>
      </c>
      <c r="E34" s="222"/>
      <c r="F34" s="222"/>
    </row>
  </sheetData>
  <sheetProtection sheet="1" formatCells="0" formatColumns="0" formatRows="0"/>
  <dataConsolidate/>
  <mergeCells count="5">
    <mergeCell ref="A4:M4"/>
    <mergeCell ref="B2:M2"/>
    <mergeCell ref="D31:F32"/>
    <mergeCell ref="A5:M5"/>
    <mergeCell ref="D34:F34"/>
  </mergeCells>
  <dataValidations count="1">
    <dataValidation type="list" allowBlank="1" showInputMessage="1" showErrorMessage="1" sqref="B29:B32">
      <formula1>$B$71:$B$175</formula1>
    </dataValidation>
  </dataValidations>
  <hyperlinks>
    <hyperlink ref="D31:F32" location="Menú!A1" display="Volver al Menu"/>
    <hyperlink ref="D34:F34" location="Cálculo!A1" display="Calculo de Emisiones"/>
  </hyperlink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Factores!$B$77:$B$182</xm:f>
          </x14:formula1>
          <xm:sqref>G10:G27 B10:B27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
  <sheetViews>
    <sheetView showGridLines="0" showRowColHeaders="0" workbookViewId="0">
      <selection activeCell="F8" sqref="F8:H9"/>
    </sheetView>
  </sheetViews>
  <sheetFormatPr baseColWidth="10" defaultRowHeight="14.25" x14ac:dyDescent="0.2"/>
  <cols>
    <col min="1" max="1" width="30.875" customWidth="1"/>
    <col min="2" max="2" width="25" customWidth="1"/>
  </cols>
  <sheetData>
    <row r="1" spans="1:12" x14ac:dyDescent="0.2">
      <c r="A1" s="185" t="s">
        <v>196</v>
      </c>
      <c r="B1" s="185"/>
      <c r="C1" s="185"/>
      <c r="D1" s="185"/>
      <c r="E1" s="185"/>
    </row>
    <row r="2" spans="1:12" x14ac:dyDescent="0.2">
      <c r="A2" s="185"/>
      <c r="B2" s="185"/>
      <c r="C2" s="185"/>
      <c r="D2" s="185"/>
      <c r="E2" s="185"/>
    </row>
    <row r="4" spans="1:12" x14ac:dyDescent="0.2">
      <c r="A4" s="11" t="s">
        <v>11</v>
      </c>
      <c r="B4" s="11" t="s">
        <v>197</v>
      </c>
    </row>
    <row r="5" spans="1:12" x14ac:dyDescent="0.2">
      <c r="A5" s="11"/>
      <c r="B5" s="11"/>
    </row>
    <row r="6" spans="1:12" x14ac:dyDescent="0.2">
      <c r="A6" s="11"/>
      <c r="B6" s="11"/>
    </row>
    <row r="7" spans="1:12" x14ac:dyDescent="0.2">
      <c r="A7" s="11"/>
      <c r="B7" s="11"/>
    </row>
    <row r="8" spans="1:12" ht="14.25" customHeight="1" x14ac:dyDescent="0.2">
      <c r="A8" s="11"/>
      <c r="B8" s="11"/>
      <c r="F8" s="232" t="s">
        <v>248</v>
      </c>
      <c r="G8" s="232"/>
      <c r="H8" s="232"/>
    </row>
    <row r="9" spans="1:12" ht="18.75" customHeight="1" x14ac:dyDescent="0.2">
      <c r="A9" s="11"/>
      <c r="B9" s="11"/>
      <c r="F9" s="232"/>
      <c r="G9" s="232"/>
      <c r="H9" s="232"/>
    </row>
    <row r="10" spans="1:12" x14ac:dyDescent="0.2">
      <c r="A10" s="11"/>
      <c r="B10" s="11"/>
    </row>
    <row r="11" spans="1:12" ht="18.75" x14ac:dyDescent="0.2">
      <c r="A11" s="11"/>
      <c r="B11" s="11"/>
      <c r="F11" s="222" t="s">
        <v>263</v>
      </c>
      <c r="G11" s="222"/>
      <c r="H11" s="222"/>
    </row>
    <row r="12" spans="1:12" x14ac:dyDescent="0.2">
      <c r="A12" s="11"/>
      <c r="B12" s="11"/>
    </row>
    <row r="13" spans="1:12" x14ac:dyDescent="0.2">
      <c r="A13" s="11"/>
      <c r="B13" s="11"/>
    </row>
    <row r="14" spans="1:12" ht="21" x14ac:dyDescent="0.35">
      <c r="A14" s="11" t="s">
        <v>146</v>
      </c>
      <c r="B14" s="11">
        <f>SUBTOTAL(103,Tabla2[Total kilogramos CO2e])</f>
        <v>0</v>
      </c>
      <c r="L14" s="169"/>
    </row>
    <row r="23" spans="8:8" ht="15.75" x14ac:dyDescent="0.25">
      <c r="H23" s="168"/>
    </row>
  </sheetData>
  <sheetProtection sheet="1" objects="1" scenarios="1"/>
  <mergeCells count="3">
    <mergeCell ref="A1:E2"/>
    <mergeCell ref="F8:H9"/>
    <mergeCell ref="F11:H11"/>
  </mergeCells>
  <hyperlinks>
    <hyperlink ref="F11:H11" location="Cálculo!A1" display="Calculo de Emisiones"/>
    <hyperlink ref="F8:H9" location="Menú!A1" display="Volver al Menú"/>
  </hyperlinks>
  <pageMargins left="0.7" right="0.7" top="0.75" bottom="0.75" header="0.3" footer="0.3"/>
  <pageSetup paperSize="9" orientation="portrait"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C00000"/>
  </sheetPr>
  <dimension ref="A1:M26"/>
  <sheetViews>
    <sheetView showGridLines="0" showRowColHeaders="0" tabSelected="1" zoomScale="80" zoomScaleNormal="80" workbookViewId="0">
      <selection activeCell="J20" sqref="J20"/>
    </sheetView>
  </sheetViews>
  <sheetFormatPr baseColWidth="10" defaultColWidth="11" defaultRowHeight="14.25" x14ac:dyDescent="0.2"/>
  <cols>
    <col min="1" max="1" width="10.875" style="5" bestFit="1" customWidth="1"/>
    <col min="2" max="2" width="16.75" style="6" customWidth="1"/>
    <col min="3" max="3" width="28.75" style="4" customWidth="1"/>
    <col min="4" max="4" width="22" style="3" customWidth="1"/>
    <col min="5" max="5" width="18" style="3" bestFit="1" customWidth="1"/>
    <col min="6" max="6" width="15.125" style="3" customWidth="1"/>
    <col min="7" max="7" width="15" style="3" customWidth="1"/>
    <col min="8" max="8" width="14.5" style="3" customWidth="1"/>
    <col min="9" max="9" width="13.125" style="3" customWidth="1"/>
    <col min="10" max="10" width="26.75" style="3" customWidth="1"/>
    <col min="11" max="11" width="32.25" style="3" customWidth="1"/>
    <col min="12" max="12" width="15.625" style="5" customWidth="1"/>
    <col min="13" max="16384" width="11" style="5"/>
  </cols>
  <sheetData>
    <row r="1" spans="1:13" ht="28.5" x14ac:dyDescent="0.2">
      <c r="A1" s="163"/>
    </row>
    <row r="2" spans="1:13" ht="23.25" x14ac:dyDescent="0.2">
      <c r="B2" s="234" t="s">
        <v>161</v>
      </c>
      <c r="C2" s="234"/>
      <c r="D2" s="234"/>
      <c r="E2" s="234"/>
      <c r="F2" s="234"/>
      <c r="G2" s="234"/>
      <c r="H2" s="234"/>
      <c r="I2" s="234"/>
      <c r="J2" s="234"/>
    </row>
    <row r="4" spans="1:13" ht="81" customHeight="1" x14ac:dyDescent="0.2">
      <c r="B4" s="2" t="s">
        <v>0</v>
      </c>
      <c r="C4" s="2" t="s">
        <v>8</v>
      </c>
      <c r="D4" s="2" t="s">
        <v>5</v>
      </c>
      <c r="E4" s="2" t="s">
        <v>1</v>
      </c>
      <c r="F4" s="2" t="s">
        <v>3</v>
      </c>
      <c r="G4" s="1" t="s">
        <v>168</v>
      </c>
      <c r="H4" s="106" t="s">
        <v>162</v>
      </c>
      <c r="I4" s="96" t="s">
        <v>163</v>
      </c>
      <c r="J4" s="97" t="s">
        <v>147</v>
      </c>
      <c r="K4" s="5"/>
    </row>
    <row r="5" spans="1:13" s="2" customFormat="1" ht="42.75" x14ac:dyDescent="0.2">
      <c r="A5"/>
      <c r="B5" s="12"/>
      <c r="C5" s="131" t="str">
        <f>+Combustible!B4</f>
        <v>Consumo de combustible fósil / Emisión de gases
Fuente Móvil</v>
      </c>
      <c r="D5" s="13"/>
      <c r="E5" s="98">
        <f>Combustible!D15</f>
        <v>11997.380000000001</v>
      </c>
      <c r="F5" s="13" t="str">
        <f>+Combustible!D7</f>
        <v>Litros Totales/ año</v>
      </c>
      <c r="G5" s="14">
        <f>Tabla4[[#Totals],[kg CO2e/Año]]</f>
        <v>31146.690120000003</v>
      </c>
      <c r="H5" s="113">
        <f>Tabla4[[#Totals],[kg/CH4/Año]]</f>
        <v>2.1893571999999999</v>
      </c>
      <c r="I5" s="114">
        <f>Tabla4[[#Totals],[ kg/N2O/Año]]</f>
        <v>1.9159678100000002</v>
      </c>
      <c r="J5" s="15">
        <f>SUM((Tabla23[[#This Row],[kg CO2/Año]]+(Tabla23[[#This Row],[kg/CH4/Año]]*Factores!C78)+(Tabla23[[#This Row],[ kg/N2O/Año]]*Factores!C79))/1000)</f>
        <v>31.786616642300004</v>
      </c>
      <c r="K5" s="233" t="s">
        <v>30</v>
      </c>
    </row>
    <row r="6" spans="1:13" ht="42.75" x14ac:dyDescent="0.2">
      <c r="B6" s="12"/>
      <c r="C6" s="132" t="str">
        <f>+Combustible!I4</f>
        <v>Consumo de combustible fósil / Emisión de gases
Fuente Fija</v>
      </c>
      <c r="D6" s="13"/>
      <c r="E6" s="99">
        <f>Combustible!K15</f>
        <v>0</v>
      </c>
      <c r="F6" s="13" t="str">
        <f>Combustible!K7</f>
        <v>Litros Totales / año</v>
      </c>
      <c r="G6" s="14">
        <f>Tabla5[[#Totals],[kg CO2e/Año]]</f>
        <v>0</v>
      </c>
      <c r="H6" s="113">
        <f>Tabla5[[#Totals],[kg/CH4/Año]]</f>
        <v>0</v>
      </c>
      <c r="I6" s="113">
        <f>Tabla5[[#Totals],[ kg/N2O/Año]]</f>
        <v>0</v>
      </c>
      <c r="J6" s="15">
        <f>SUM((Tabla23[[#This Row],[kg CO2/Año]]+(Tabla23[[#This Row],[kg/CH4/Año]]*Factores!C78)+(Tabla23[[#This Row],[ kg/N2O/Año]]*Factores!C79))/1000)</f>
        <v>0</v>
      </c>
      <c r="K6" s="233"/>
    </row>
    <row r="7" spans="1:13" ht="28.5" x14ac:dyDescent="0.2">
      <c r="B7" s="16"/>
      <c r="C7" s="17" t="s">
        <v>183</v>
      </c>
      <c r="D7" s="13"/>
      <c r="E7" s="99">
        <f>Tabla108[Litros Totales]</f>
        <v>0</v>
      </c>
      <c r="F7" s="13" t="s">
        <v>134</v>
      </c>
      <c r="G7" s="142" t="str">
        <f>Tabla108[kg CO2]</f>
        <v/>
      </c>
      <c r="H7" s="109" t="s">
        <v>166</v>
      </c>
      <c r="I7" s="109" t="s">
        <v>166</v>
      </c>
      <c r="J7" s="15" t="str">
        <f>IF(Tabla23[[#This Row],[kg CO2/Año]]="","0,00",Tabla23[[#This Row],[kg CO2/Año]]/1000)</f>
        <v>0,00</v>
      </c>
      <c r="K7" s="233"/>
    </row>
    <row r="8" spans="1:13" ht="39" customHeight="1" x14ac:dyDescent="0.2">
      <c r="B8" s="16"/>
      <c r="C8" s="17" t="s">
        <v>137</v>
      </c>
      <c r="D8" s="13"/>
      <c r="E8" s="99">
        <f>Electricidad!D7</f>
        <v>1760.17</v>
      </c>
      <c r="F8" s="13" t="str">
        <f>Electricidad!D6</f>
        <v>kWh Totales / año</v>
      </c>
      <c r="G8" s="142">
        <f>(VLOOKUP(Tabla10[Año de consumo],Factores!C36:D42,2,FALSE))*Tabla10[kWh Totales / año]</f>
        <v>64.246205000000003</v>
      </c>
      <c r="H8" s="109" t="s">
        <v>166</v>
      </c>
      <c r="I8" s="109" t="s">
        <v>166</v>
      </c>
      <c r="J8" s="15">
        <f>IFERROR(SUM(Tabla23[[#This Row],[kg CO2/Año]])/1000,"0")</f>
        <v>6.4246205000000001E-2</v>
      </c>
      <c r="K8" s="233"/>
    </row>
    <row r="9" spans="1:13" ht="39.75" customHeight="1" x14ac:dyDescent="0.2">
      <c r="B9" s="16"/>
      <c r="C9" s="17" t="s">
        <v>10</v>
      </c>
      <c r="D9" s="13"/>
      <c r="E9" s="99">
        <f>Tabla1134[[#Totals],[kg CH4/año]]+Tabla1235[[#Totals],[ kg CH4/año]]</f>
        <v>0</v>
      </c>
      <c r="F9" s="13" t="s">
        <v>155</v>
      </c>
      <c r="G9" s="109" t="s">
        <v>166</v>
      </c>
      <c r="H9" s="14">
        <f>SUM(Tabla1134[[#Totals],[kg CH4/año]]+Tabla1235[[#Totals],[ kg CH4/año]])</f>
        <v>0</v>
      </c>
      <c r="I9" s="109" t="s">
        <v>166</v>
      </c>
      <c r="J9" s="15">
        <f>(Tabla23[[#This Row],[kg/CH4/Año]]/1000)*Factores!C78</f>
        <v>0</v>
      </c>
      <c r="K9" s="233"/>
    </row>
    <row r="10" spans="1:13" ht="42" customHeight="1" x14ac:dyDescent="0.2">
      <c r="B10" s="16"/>
      <c r="C10" s="17" t="s">
        <v>272</v>
      </c>
      <c r="D10" s="13"/>
      <c r="E10" s="99">
        <f>IF((SUM(Tabla11[Total kg RS por año laborado])&gt;0),Tabla11[[#Totals],[Total kg RS por año laborado]],Tabla12[[#Totals],[Total kg RS por año laborado]])</f>
        <v>1012.42</v>
      </c>
      <c r="F10" s="13" t="s">
        <v>149</v>
      </c>
      <c r="G10" s="109" t="s">
        <v>166</v>
      </c>
      <c r="H10" s="14">
        <f>Tabla11[[#Totals],[ kg CH4/año]]+Tabla12[[#Totals],[ kg CH4/año]]</f>
        <v>58.821601999999999</v>
      </c>
      <c r="I10" s="14">
        <f>Tabla11[[#Totals],[kg/N2O/año]]</f>
        <v>0</v>
      </c>
      <c r="J10" s="15">
        <f>SUM(((Tabla23[[#This Row],[kg/CH4/Año]]*Factores!C78)+(Tabla23[[#This Row],[ kg/N2O/Año]]*Factores!C79))/1000)</f>
        <v>1.235253642</v>
      </c>
      <c r="K10" s="233"/>
    </row>
    <row r="11" spans="1:13" ht="28.5" x14ac:dyDescent="0.2">
      <c r="B11" s="16"/>
      <c r="C11" s="17" t="s">
        <v>271</v>
      </c>
      <c r="D11" s="13"/>
      <c r="E11" s="108">
        <f>IF(((Tabla1[[#Totals],[Fuga Anual (gramos/año)]])/1000)&gt;0,((Tabla1[[#Totals],[Fuga Anual (gramos/año)]])/1000),(Tabla17[[#Totals],[Fuga Teorica de 10% (gr)]])/1000)</f>
        <v>0</v>
      </c>
      <c r="F11" s="13" t="s">
        <v>149</v>
      </c>
      <c r="G11" s="109" t="s">
        <v>166</v>
      </c>
      <c r="H11" s="109" t="s">
        <v>119</v>
      </c>
      <c r="I11" s="109" t="s">
        <v>119</v>
      </c>
      <c r="J11" s="15">
        <f>IF((Tabla1[[#Totals],[Fuga Anual (Ton/CO2e)]])&gt;0,(Tabla1[[#Totals],[Fuga Anual (Ton/CO2e)]]),(Tabla17[[#Totals],[Fuga Teorica Anual (Ton/CO2e)]]))</f>
        <v>0</v>
      </c>
      <c r="K11" s="233"/>
    </row>
    <row r="12" spans="1:13" ht="15" x14ac:dyDescent="0.2">
      <c r="B12" s="16"/>
      <c r="C12" s="17" t="s">
        <v>195</v>
      </c>
      <c r="D12" s="13"/>
      <c r="E12" s="99">
        <f>Tabla2[[#Totals],[Total kilogramos CO2e]]</f>
        <v>0</v>
      </c>
      <c r="F12" s="13" t="s">
        <v>149</v>
      </c>
      <c r="G12" s="109" t="s">
        <v>198</v>
      </c>
      <c r="H12" s="109" t="s">
        <v>198</v>
      </c>
      <c r="I12" s="109" t="s">
        <v>198</v>
      </c>
      <c r="J12" s="15">
        <f>Tabla2[[#Totals],[Total kilogramos CO2e]]/1000</f>
        <v>0</v>
      </c>
      <c r="K12" s="233"/>
    </row>
    <row r="13" spans="1:13" ht="45" customHeight="1" x14ac:dyDescent="0.2">
      <c r="A13" s="11"/>
      <c r="B13" s="143" t="s">
        <v>193</v>
      </c>
      <c r="D13" s="94"/>
      <c r="E13" s="100" t="s">
        <v>150</v>
      </c>
      <c r="G13" s="95"/>
      <c r="H13" s="95"/>
      <c r="I13" s="95"/>
      <c r="J13" s="119">
        <f>SUM(J5:J12)</f>
        <v>33.086116489300004</v>
      </c>
      <c r="K13" s="233"/>
    </row>
    <row r="14" spans="1:13" x14ac:dyDescent="0.2">
      <c r="B14" s="8"/>
      <c r="J14"/>
      <c r="K14" s="233"/>
      <c r="L14" s="7"/>
      <c r="M14" s="7"/>
    </row>
    <row r="15" spans="1:13" ht="14.25" customHeight="1" x14ac:dyDescent="0.2">
      <c r="J15"/>
      <c r="K15"/>
    </row>
    <row r="16" spans="1:13" ht="15" x14ac:dyDescent="0.2">
      <c r="A16" s="9"/>
      <c r="J16"/>
      <c r="K16"/>
    </row>
    <row r="17" spans="1:11" x14ac:dyDescent="0.2">
      <c r="A17" s="7"/>
      <c r="B17"/>
      <c r="C17"/>
      <c r="D17"/>
      <c r="E17"/>
      <c r="F17"/>
      <c r="G17"/>
      <c r="J17"/>
      <c r="K17"/>
    </row>
    <row r="18" spans="1:11" ht="45.75" customHeight="1" x14ac:dyDescent="0.2">
      <c r="A18" s="7"/>
      <c r="B18" s="235" t="s">
        <v>248</v>
      </c>
      <c r="C18" s="235"/>
      <c r="D18" s="235"/>
      <c r="E18"/>
      <c r="F18"/>
      <c r="G18"/>
      <c r="J18"/>
      <c r="K18"/>
    </row>
    <row r="19" spans="1:11" x14ac:dyDescent="0.2">
      <c r="A19" s="7"/>
      <c r="B19" s="235"/>
      <c r="C19" s="235"/>
      <c r="D19" s="235"/>
      <c r="E19"/>
      <c r="F19"/>
      <c r="G19"/>
      <c r="J19"/>
      <c r="K19"/>
    </row>
    <row r="20" spans="1:11" x14ac:dyDescent="0.2">
      <c r="B20"/>
      <c r="C20"/>
      <c r="D20"/>
      <c r="E20"/>
      <c r="F20"/>
      <c r="G20"/>
      <c r="J20"/>
      <c r="K20"/>
    </row>
    <row r="21" spans="1:11" x14ac:dyDescent="0.2">
      <c r="B21"/>
      <c r="C21"/>
      <c r="D21"/>
      <c r="E21"/>
      <c r="F21"/>
      <c r="G21"/>
      <c r="J21"/>
      <c r="K21"/>
    </row>
    <row r="22" spans="1:11" x14ac:dyDescent="0.2">
      <c r="J22"/>
      <c r="K22"/>
    </row>
    <row r="23" spans="1:11" x14ac:dyDescent="0.2">
      <c r="J23"/>
      <c r="K23"/>
    </row>
    <row r="24" spans="1:11" x14ac:dyDescent="0.2">
      <c r="J24"/>
      <c r="K24"/>
    </row>
    <row r="25" spans="1:11" x14ac:dyDescent="0.2">
      <c r="J25"/>
      <c r="K25"/>
    </row>
    <row r="26" spans="1:11" ht="15" x14ac:dyDescent="0.2">
      <c r="I26" s="162"/>
      <c r="J26"/>
      <c r="K26"/>
    </row>
  </sheetData>
  <sheetProtection sheet="1" formatCells="0" formatColumns="0" formatRows="0"/>
  <mergeCells count="3">
    <mergeCell ref="K5:K14"/>
    <mergeCell ref="B2:J2"/>
    <mergeCell ref="B18:D19"/>
  </mergeCells>
  <hyperlinks>
    <hyperlink ref="B18:D19" location="Menú!A1" display="Volver al Menu"/>
  </hyperlinks>
  <pageMargins left="0.7" right="0.7" top="0.75" bottom="0.75" header="0.3" footer="0.3"/>
  <pageSetup paperSize="13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26"/>
  <sheetViews>
    <sheetView showGridLines="0" showRowColHeaders="0" workbookViewId="0">
      <selection activeCell="I22" sqref="I22"/>
    </sheetView>
  </sheetViews>
  <sheetFormatPr baseColWidth="10" defaultRowHeight="14.25" x14ac:dyDescent="0.2"/>
  <sheetData>
    <row r="1" spans="1:13" x14ac:dyDescent="0.2">
      <c r="A1" s="78"/>
      <c r="B1" s="78"/>
      <c r="C1" s="78"/>
      <c r="D1" s="78"/>
      <c r="E1" s="78"/>
      <c r="F1" s="78"/>
      <c r="G1" s="78"/>
      <c r="H1" s="78"/>
      <c r="I1" s="78"/>
      <c r="J1" s="78"/>
      <c r="K1" s="78"/>
      <c r="L1" s="78"/>
      <c r="M1" s="78"/>
    </row>
    <row r="2" spans="1:13" ht="18.75" x14ac:dyDescent="0.3">
      <c r="A2" s="78"/>
      <c r="B2" s="78"/>
      <c r="C2" s="78"/>
      <c r="D2" s="78"/>
      <c r="E2" s="78"/>
      <c r="F2" s="78"/>
      <c r="G2" s="78"/>
      <c r="H2" s="78"/>
      <c r="I2" s="78"/>
      <c r="J2" s="78"/>
      <c r="K2" s="79"/>
      <c r="L2" s="78"/>
      <c r="M2" s="78"/>
    </row>
    <row r="3" spans="1:13" x14ac:dyDescent="0.2">
      <c r="A3" s="80"/>
      <c r="B3" s="78"/>
      <c r="C3" s="78"/>
      <c r="D3" s="78"/>
      <c r="E3" s="78"/>
      <c r="F3" s="78"/>
      <c r="G3" s="78"/>
      <c r="H3" s="78"/>
      <c r="I3" s="78"/>
      <c r="J3" s="78"/>
      <c r="K3" s="78"/>
      <c r="L3" s="78"/>
      <c r="M3" s="78"/>
    </row>
    <row r="4" spans="1:13" x14ac:dyDescent="0.2">
      <c r="A4" s="78"/>
      <c r="B4" s="78"/>
      <c r="C4" s="78"/>
      <c r="D4" s="78"/>
      <c r="E4" s="78"/>
      <c r="F4" s="78"/>
      <c r="G4" s="78"/>
      <c r="H4" s="78"/>
      <c r="I4" s="78"/>
      <c r="J4" s="78"/>
      <c r="K4" s="78"/>
      <c r="L4" s="78"/>
      <c r="M4" s="78"/>
    </row>
    <row r="5" spans="1:13" x14ac:dyDescent="0.2">
      <c r="A5" s="78"/>
      <c r="B5" s="78"/>
      <c r="C5" s="78"/>
      <c r="D5" s="78"/>
      <c r="E5" s="78"/>
      <c r="F5" s="78"/>
      <c r="G5" s="78"/>
      <c r="H5" s="78"/>
      <c r="I5" s="78"/>
      <c r="J5" s="78"/>
      <c r="K5" s="78"/>
      <c r="L5" s="78"/>
      <c r="M5" s="78"/>
    </row>
    <row r="6" spans="1:13" x14ac:dyDescent="0.2">
      <c r="A6" s="78"/>
      <c r="B6" s="78"/>
      <c r="C6" s="78"/>
      <c r="D6" s="78"/>
      <c r="E6" s="78"/>
      <c r="F6" s="78"/>
      <c r="G6" s="78"/>
      <c r="H6" s="78"/>
      <c r="I6" s="78"/>
      <c r="J6" s="78"/>
      <c r="K6" s="78"/>
      <c r="L6" s="78"/>
      <c r="M6" s="78"/>
    </row>
    <row r="7" spans="1:13" x14ac:dyDescent="0.2">
      <c r="A7" s="78"/>
      <c r="B7" s="78"/>
      <c r="C7" s="78"/>
      <c r="D7" s="78"/>
      <c r="E7" s="78"/>
      <c r="F7" s="78"/>
      <c r="G7" s="78"/>
      <c r="H7" s="78"/>
      <c r="I7" s="78"/>
      <c r="J7" s="78"/>
      <c r="K7" s="78"/>
      <c r="L7" s="78"/>
      <c r="M7" s="78"/>
    </row>
    <row r="8" spans="1:13" x14ac:dyDescent="0.2">
      <c r="A8" s="78"/>
      <c r="B8" s="78"/>
      <c r="C8" s="78"/>
      <c r="D8" s="78"/>
      <c r="E8" s="78"/>
      <c r="F8" s="78"/>
      <c r="G8" s="78"/>
      <c r="H8" s="78"/>
      <c r="I8" s="78"/>
      <c r="J8" s="78"/>
      <c r="K8" s="78"/>
      <c r="L8" s="78"/>
      <c r="M8" s="78"/>
    </row>
    <row r="9" spans="1:13" ht="23.25" x14ac:dyDescent="0.2">
      <c r="A9" s="78"/>
      <c r="B9" s="78"/>
      <c r="C9" s="78"/>
      <c r="D9" s="78"/>
      <c r="E9" s="190"/>
      <c r="F9" s="190"/>
      <c r="G9" s="78"/>
      <c r="H9" s="78"/>
      <c r="I9" s="78"/>
      <c r="J9" s="78"/>
      <c r="K9" s="78"/>
      <c r="L9" s="78"/>
      <c r="M9" s="78"/>
    </row>
    <row r="10" spans="1:13" x14ac:dyDescent="0.2">
      <c r="A10" s="78"/>
      <c r="B10" s="78"/>
      <c r="C10" s="78"/>
      <c r="D10" s="78"/>
      <c r="E10" s="78"/>
      <c r="F10" s="78"/>
      <c r="G10" s="78"/>
      <c r="H10" s="78"/>
      <c r="I10" s="78"/>
      <c r="J10" s="78"/>
      <c r="K10" s="78"/>
      <c r="L10" s="78"/>
      <c r="M10" s="78"/>
    </row>
    <row r="11" spans="1:13" ht="21" x14ac:dyDescent="0.2">
      <c r="A11" s="78"/>
      <c r="B11" s="78"/>
      <c r="C11" s="78"/>
      <c r="D11" s="78"/>
      <c r="E11" s="191" t="s">
        <v>138</v>
      </c>
      <c r="F11" s="191"/>
      <c r="G11" s="192" t="s">
        <v>286</v>
      </c>
      <c r="H11" s="192"/>
      <c r="I11" s="192"/>
      <c r="J11" s="192"/>
      <c r="K11" s="192"/>
      <c r="L11" s="78"/>
      <c r="M11" s="78"/>
    </row>
    <row r="12" spans="1:13" ht="18.75" x14ac:dyDescent="0.2">
      <c r="A12" s="78"/>
      <c r="B12" s="78"/>
      <c r="C12" s="78"/>
      <c r="D12" s="78"/>
      <c r="E12" s="81"/>
      <c r="F12" s="81"/>
      <c r="G12" s="81"/>
      <c r="H12" s="189"/>
      <c r="I12" s="189"/>
      <c r="J12" s="189"/>
      <c r="K12" s="189"/>
      <c r="L12" s="78"/>
      <c r="M12" s="78"/>
    </row>
    <row r="13" spans="1:13" ht="18.75" x14ac:dyDescent="0.2">
      <c r="A13" s="78"/>
      <c r="B13" s="78"/>
      <c r="C13" s="78"/>
      <c r="D13" s="78"/>
      <c r="E13" s="187" t="s">
        <v>154</v>
      </c>
      <c r="F13" s="187"/>
      <c r="G13" s="187"/>
      <c r="H13" s="188"/>
      <c r="I13" s="188"/>
      <c r="J13" s="188"/>
      <c r="K13" s="188"/>
      <c r="L13" s="78"/>
      <c r="M13" s="78"/>
    </row>
    <row r="14" spans="1:13" ht="18.75" x14ac:dyDescent="0.2">
      <c r="A14" s="78"/>
      <c r="B14" s="78"/>
      <c r="C14" s="78"/>
      <c r="D14" s="78"/>
      <c r="E14" s="81"/>
      <c r="F14" s="81"/>
      <c r="G14" s="81"/>
      <c r="H14" s="189"/>
      <c r="I14" s="189"/>
      <c r="J14" s="189"/>
      <c r="K14" s="189"/>
      <c r="L14" s="78"/>
      <c r="M14" s="78"/>
    </row>
    <row r="15" spans="1:13" ht="18.75" x14ac:dyDescent="0.2">
      <c r="A15" s="78"/>
      <c r="B15" s="78"/>
      <c r="C15" s="78"/>
      <c r="D15" s="78"/>
      <c r="E15" s="187" t="s">
        <v>139</v>
      </c>
      <c r="F15" s="187"/>
      <c r="G15" s="187"/>
      <c r="H15" s="188" t="s">
        <v>287</v>
      </c>
      <c r="I15" s="188"/>
      <c r="J15" s="188"/>
      <c r="K15" s="188"/>
      <c r="L15" s="78"/>
      <c r="M15" s="78"/>
    </row>
    <row r="16" spans="1:13" ht="18.75" x14ac:dyDescent="0.2">
      <c r="A16" s="78"/>
      <c r="B16" s="78"/>
      <c r="C16" s="78"/>
      <c r="D16" s="78"/>
      <c r="E16" s="187" t="s">
        <v>140</v>
      </c>
      <c r="F16" s="187"/>
      <c r="G16" s="187"/>
      <c r="H16" s="188"/>
      <c r="I16" s="188"/>
      <c r="J16" s="188"/>
      <c r="K16" s="188"/>
      <c r="L16" s="78"/>
      <c r="M16" s="78"/>
    </row>
    <row r="17" spans="1:13" ht="18.75" x14ac:dyDescent="0.2">
      <c r="A17" s="78"/>
      <c r="C17" s="78"/>
      <c r="D17" s="78"/>
      <c r="E17" s="81"/>
      <c r="F17" s="81"/>
      <c r="G17" s="81"/>
      <c r="H17" s="189"/>
      <c r="I17" s="189"/>
      <c r="J17" s="189"/>
      <c r="K17" s="189"/>
      <c r="L17" s="78"/>
      <c r="M17" s="78"/>
    </row>
    <row r="18" spans="1:13" ht="18.75" customHeight="1" x14ac:dyDescent="0.2">
      <c r="A18" s="78"/>
      <c r="B18" s="78"/>
      <c r="C18" s="78"/>
      <c r="D18" s="78"/>
      <c r="E18" s="187" t="s">
        <v>141</v>
      </c>
      <c r="F18" s="187"/>
      <c r="G18" s="187"/>
      <c r="H18" s="188">
        <v>22235922</v>
      </c>
      <c r="I18" s="188"/>
      <c r="J18" s="188"/>
      <c r="K18" s="188"/>
      <c r="L18" s="78"/>
      <c r="M18" s="78"/>
    </row>
    <row r="19" spans="1:13" ht="18.75" x14ac:dyDescent="0.2">
      <c r="A19" s="78"/>
      <c r="B19" s="78"/>
      <c r="C19" s="78"/>
      <c r="D19" s="78"/>
      <c r="E19" s="187" t="s">
        <v>142</v>
      </c>
      <c r="F19" s="187"/>
      <c r="G19" s="187"/>
      <c r="H19" s="188" t="s">
        <v>288</v>
      </c>
      <c r="I19" s="188"/>
      <c r="J19" s="188"/>
      <c r="K19" s="188"/>
      <c r="L19" s="78"/>
      <c r="M19" s="78"/>
    </row>
    <row r="20" spans="1:13" ht="23.25" x14ac:dyDescent="0.2">
      <c r="A20" s="78"/>
      <c r="B20" s="78"/>
      <c r="C20" s="78"/>
      <c r="D20" s="78"/>
      <c r="E20" s="78"/>
      <c r="F20" s="82"/>
      <c r="G20" s="78"/>
      <c r="H20" s="78"/>
      <c r="I20" s="78"/>
      <c r="J20" s="78"/>
      <c r="K20" s="78"/>
      <c r="L20" s="78"/>
      <c r="M20" s="78"/>
    </row>
    <row r="21" spans="1:13" ht="18.75" x14ac:dyDescent="0.2">
      <c r="A21" s="78"/>
      <c r="B21" s="78"/>
      <c r="C21" s="78"/>
      <c r="D21" s="78"/>
      <c r="E21" s="187" t="s">
        <v>143</v>
      </c>
      <c r="F21" s="187"/>
      <c r="G21" s="187"/>
      <c r="H21" s="187"/>
      <c r="I21" s="194">
        <v>2020</v>
      </c>
      <c r="J21" s="194"/>
      <c r="K21" s="194"/>
      <c r="L21" s="78"/>
      <c r="M21" s="78"/>
    </row>
    <row r="22" spans="1:13" x14ac:dyDescent="0.2">
      <c r="A22" s="78"/>
      <c r="B22" s="78"/>
      <c r="C22" s="78"/>
      <c r="D22" s="78"/>
      <c r="E22" s="78"/>
      <c r="F22" s="78"/>
      <c r="G22" s="78"/>
      <c r="H22" s="78"/>
      <c r="I22" s="78"/>
      <c r="J22" s="78"/>
      <c r="K22" s="78"/>
      <c r="L22" s="78"/>
      <c r="M22" s="78"/>
    </row>
    <row r="23" spans="1:13" x14ac:dyDescent="0.2">
      <c r="A23" s="78"/>
      <c r="B23" s="78"/>
      <c r="C23" s="78"/>
      <c r="D23" s="78"/>
      <c r="E23" s="78"/>
      <c r="F23" s="78"/>
      <c r="G23" s="78"/>
      <c r="H23" s="78"/>
      <c r="I23" s="78"/>
      <c r="J23" s="78"/>
      <c r="K23" s="78"/>
      <c r="L23" s="78"/>
      <c r="M23" s="78"/>
    </row>
    <row r="24" spans="1:13" x14ac:dyDescent="0.2">
      <c r="A24" s="78"/>
      <c r="B24" s="78"/>
      <c r="C24" s="78"/>
      <c r="D24" s="78"/>
      <c r="E24" s="193" t="s">
        <v>248</v>
      </c>
      <c r="F24" s="193"/>
      <c r="G24" s="193"/>
      <c r="H24" s="78"/>
      <c r="I24" s="78"/>
      <c r="J24" s="78"/>
      <c r="K24" s="78"/>
      <c r="L24" s="78"/>
      <c r="M24" s="78"/>
    </row>
    <row r="25" spans="1:13" x14ac:dyDescent="0.2">
      <c r="A25" s="78"/>
      <c r="B25" s="78"/>
      <c r="C25" s="78"/>
      <c r="D25" s="78"/>
      <c r="E25" s="193"/>
      <c r="F25" s="193"/>
      <c r="G25" s="193"/>
      <c r="H25" s="78"/>
      <c r="I25" s="78"/>
      <c r="J25" s="78"/>
      <c r="K25" s="78"/>
      <c r="L25" s="78"/>
      <c r="M25" s="78"/>
    </row>
    <row r="26" spans="1:13" x14ac:dyDescent="0.2">
      <c r="A26" s="78"/>
      <c r="B26" s="78"/>
      <c r="C26" s="78"/>
      <c r="D26" s="78"/>
      <c r="L26" s="78"/>
      <c r="M26" s="78"/>
    </row>
  </sheetData>
  <sheetProtection sheet="1" objects="1" scenarios="1"/>
  <protectedRanges>
    <protectedRange sqref="H11:K19" name="Rango1"/>
  </protectedRanges>
  <mergeCells count="19">
    <mergeCell ref="E24:G25"/>
    <mergeCell ref="E19:G19"/>
    <mergeCell ref="H19:K19"/>
    <mergeCell ref="E21:H21"/>
    <mergeCell ref="I21:K21"/>
    <mergeCell ref="E18:G18"/>
    <mergeCell ref="H18:K18"/>
    <mergeCell ref="H17:K17"/>
    <mergeCell ref="E9:F9"/>
    <mergeCell ref="E11:F11"/>
    <mergeCell ref="G11:K11"/>
    <mergeCell ref="H12:K12"/>
    <mergeCell ref="E13:G13"/>
    <mergeCell ref="H13:K13"/>
    <mergeCell ref="H14:K14"/>
    <mergeCell ref="E15:G15"/>
    <mergeCell ref="H15:K15"/>
    <mergeCell ref="E16:G16"/>
    <mergeCell ref="H16:K16"/>
  </mergeCells>
  <hyperlinks>
    <hyperlink ref="E24:G25" location="Menú!A1" display="Volver al Menu"/>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F19"/>
  <sheetViews>
    <sheetView showGridLines="0" showRowColHeaders="0" zoomScaleNormal="100" workbookViewId="0">
      <selection activeCell="G20" sqref="G20"/>
    </sheetView>
  </sheetViews>
  <sheetFormatPr baseColWidth="10" defaultColWidth="11" defaultRowHeight="15" x14ac:dyDescent="0.2"/>
  <cols>
    <col min="1" max="1" width="7.25" style="10" customWidth="1"/>
    <col min="2" max="6" width="25.625" style="10" customWidth="1"/>
    <col min="7" max="16384" width="11" style="10"/>
  </cols>
  <sheetData>
    <row r="1" spans="2:6" x14ac:dyDescent="0.2">
      <c r="B1" s="195" t="s">
        <v>15</v>
      </c>
      <c r="C1" s="195"/>
      <c r="D1" s="195"/>
      <c r="E1" s="195"/>
      <c r="F1" s="195"/>
    </row>
    <row r="2" spans="2:6" ht="29.25" customHeight="1" x14ac:dyDescent="0.2">
      <c r="B2" s="197" t="s">
        <v>16</v>
      </c>
      <c r="C2" s="197"/>
      <c r="D2" s="197"/>
      <c r="E2" s="197"/>
      <c r="F2" s="197"/>
    </row>
    <row r="3" spans="2:6" x14ac:dyDescent="0.2">
      <c r="B3" s="197" t="s">
        <v>17</v>
      </c>
      <c r="C3" s="197"/>
      <c r="D3" s="197"/>
      <c r="E3" s="197"/>
      <c r="F3" s="197"/>
    </row>
    <row r="4" spans="2:6" x14ac:dyDescent="0.2">
      <c r="B4" s="196" t="s">
        <v>249</v>
      </c>
      <c r="C4" s="197"/>
      <c r="D4" s="197"/>
      <c r="E4" s="197"/>
      <c r="F4" s="197"/>
    </row>
    <row r="5" spans="2:6" ht="15" customHeight="1" x14ac:dyDescent="0.2">
      <c r="B5" s="195" t="s">
        <v>21</v>
      </c>
      <c r="C5" s="195"/>
      <c r="D5" s="195"/>
      <c r="E5" s="195"/>
      <c r="F5" s="195"/>
    </row>
    <row r="6" spans="2:6" x14ac:dyDescent="0.2">
      <c r="B6" s="196" t="s">
        <v>250</v>
      </c>
      <c r="C6" s="197"/>
      <c r="D6" s="197"/>
      <c r="E6" s="197"/>
      <c r="F6" s="197"/>
    </row>
    <row r="7" spans="2:6" x14ac:dyDescent="0.2">
      <c r="B7" s="196" t="s">
        <v>252</v>
      </c>
      <c r="C7" s="197"/>
      <c r="D7" s="197"/>
      <c r="E7" s="197"/>
      <c r="F7" s="197"/>
    </row>
    <row r="8" spans="2:6" ht="30.75" customHeight="1" x14ac:dyDescent="0.2">
      <c r="B8" s="196" t="s">
        <v>253</v>
      </c>
      <c r="C8" s="197"/>
      <c r="D8" s="197"/>
      <c r="E8" s="197"/>
      <c r="F8" s="197"/>
    </row>
    <row r="9" spans="2:6" ht="39.75" customHeight="1" x14ac:dyDescent="0.2">
      <c r="B9" s="196" t="s">
        <v>251</v>
      </c>
      <c r="C9" s="197"/>
      <c r="D9" s="197"/>
      <c r="E9" s="197"/>
      <c r="F9" s="197"/>
    </row>
    <row r="10" spans="2:6" ht="36.75" customHeight="1" x14ac:dyDescent="0.2">
      <c r="B10" s="196" t="s">
        <v>254</v>
      </c>
      <c r="C10" s="197"/>
      <c r="D10" s="197"/>
      <c r="E10" s="197"/>
      <c r="F10" s="197"/>
    </row>
    <row r="11" spans="2:6" ht="39" customHeight="1" x14ac:dyDescent="0.2">
      <c r="B11" s="196" t="s">
        <v>255</v>
      </c>
      <c r="C11" s="197"/>
      <c r="D11" s="197"/>
      <c r="E11" s="197"/>
      <c r="F11" s="197"/>
    </row>
    <row r="12" spans="2:6" ht="36.75" customHeight="1" x14ac:dyDescent="0.2">
      <c r="B12" s="195" t="s">
        <v>18</v>
      </c>
      <c r="C12" s="195"/>
      <c r="D12" s="195"/>
      <c r="E12" s="195"/>
      <c r="F12" s="195"/>
    </row>
    <row r="13" spans="2:6" x14ac:dyDescent="0.2">
      <c r="B13" s="10" t="s">
        <v>19</v>
      </c>
      <c r="C13" s="197" t="s">
        <v>22</v>
      </c>
      <c r="D13" s="197"/>
      <c r="E13" s="197"/>
      <c r="F13" s="197"/>
    </row>
    <row r="14" spans="2:6" x14ac:dyDescent="0.2">
      <c r="B14" s="10" t="s">
        <v>20</v>
      </c>
      <c r="C14" s="198" t="s">
        <v>192</v>
      </c>
      <c r="D14" s="197"/>
      <c r="E14" s="197"/>
      <c r="F14" s="197"/>
    </row>
    <row r="15" spans="2:6" x14ac:dyDescent="0.2">
      <c r="B15" s="197" t="s">
        <v>23</v>
      </c>
      <c r="C15" s="197" t="s">
        <v>24</v>
      </c>
      <c r="D15" s="197"/>
      <c r="E15" s="197"/>
      <c r="F15" s="197"/>
    </row>
    <row r="16" spans="2:6" x14ac:dyDescent="0.2">
      <c r="B16" s="197"/>
      <c r="C16" s="197" t="s">
        <v>25</v>
      </c>
      <c r="D16" s="197"/>
      <c r="E16" s="197"/>
      <c r="F16" s="197"/>
    </row>
    <row r="18" spans="2:4" x14ac:dyDescent="0.2">
      <c r="B18" s="193" t="s">
        <v>248</v>
      </c>
      <c r="C18" s="193"/>
      <c r="D18" s="193"/>
    </row>
    <row r="19" spans="2:4" x14ac:dyDescent="0.2">
      <c r="B19" s="193"/>
      <c r="C19" s="193"/>
      <c r="D19" s="193"/>
    </row>
  </sheetData>
  <sheetProtection sheet="1" objects="1" scenarios="1"/>
  <mergeCells count="18">
    <mergeCell ref="B18:D19"/>
    <mergeCell ref="B4:F4"/>
    <mergeCell ref="B5:F5"/>
    <mergeCell ref="B2:F2"/>
    <mergeCell ref="B3:F3"/>
    <mergeCell ref="B15:B16"/>
    <mergeCell ref="C15:F15"/>
    <mergeCell ref="C16:F16"/>
    <mergeCell ref="C14:F14"/>
    <mergeCell ref="C13:F13"/>
    <mergeCell ref="B1:F1"/>
    <mergeCell ref="B6:F6"/>
    <mergeCell ref="B7:F7"/>
    <mergeCell ref="B8:F8"/>
    <mergeCell ref="B12:F12"/>
    <mergeCell ref="B9:F9"/>
    <mergeCell ref="B10:F10"/>
    <mergeCell ref="B11:F11"/>
  </mergeCells>
  <hyperlinks>
    <hyperlink ref="B18:D19" location="Menú!A1" display="Volver al Menu"/>
  </hyperlinks>
  <pageMargins left="0.7" right="0.7" top="0.75" bottom="0.75" header="0.3" footer="0.3"/>
  <pageSetup paperSize="1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184"/>
  <sheetViews>
    <sheetView showGridLines="0" showRowColHeaders="0" topLeftCell="B158" zoomScaleNormal="100" workbookViewId="0">
      <selection activeCell="C28" sqref="C28:F28"/>
    </sheetView>
  </sheetViews>
  <sheetFormatPr baseColWidth="10" defaultColWidth="11" defaultRowHeight="14.25" x14ac:dyDescent="0.2"/>
  <cols>
    <col min="1" max="1" width="11" style="18"/>
    <col min="2" max="2" width="34.125" style="18" customWidth="1"/>
    <col min="3" max="3" width="23.5" style="18" customWidth="1"/>
    <col min="4" max="4" width="21.375" style="18" customWidth="1"/>
    <col min="5" max="5" width="10.5" style="18" bestFit="1" customWidth="1"/>
    <col min="6" max="6" width="38.125" style="18" customWidth="1"/>
    <col min="7" max="7" width="13.625" style="18" customWidth="1"/>
    <col min="8" max="8" width="9.25" style="18" bestFit="1" customWidth="1"/>
    <col min="9" max="9" width="8" style="18" bestFit="1" customWidth="1"/>
    <col min="10" max="10" width="11" style="18"/>
    <col min="11" max="11" width="13.75" style="18" customWidth="1"/>
    <col min="12" max="12" width="12.75" style="18" customWidth="1"/>
    <col min="13" max="13" width="13.125" style="18" customWidth="1"/>
    <col min="14" max="16384" width="11" style="18"/>
  </cols>
  <sheetData>
    <row r="1" spans="1:10" x14ac:dyDescent="0.2">
      <c r="B1" s="199" t="s">
        <v>28</v>
      </c>
      <c r="C1" s="199"/>
      <c r="D1" s="199"/>
      <c r="E1" s="199"/>
    </row>
    <row r="2" spans="1:10" ht="52.5" customHeight="1" x14ac:dyDescent="0.2">
      <c r="B2" s="200" t="s">
        <v>29</v>
      </c>
      <c r="C2" s="200"/>
      <c r="D2" s="200"/>
      <c r="E2" s="200"/>
    </row>
    <row r="3" spans="1:10" ht="52.5" hidden="1" customHeight="1" x14ac:dyDescent="0.2">
      <c r="B3" s="19"/>
      <c r="C3" s="201"/>
      <c r="D3" s="201"/>
      <c r="E3" s="202"/>
    </row>
    <row r="4" spans="1:10" ht="52.5" hidden="1" customHeight="1" x14ac:dyDescent="0.2">
      <c r="B4" s="19"/>
      <c r="C4" s="25"/>
      <c r="D4" s="25"/>
      <c r="E4" s="26"/>
    </row>
    <row r="5" spans="1:10" ht="52.5" customHeight="1" x14ac:dyDescent="0.2">
      <c r="B5" s="203" t="s">
        <v>132</v>
      </c>
      <c r="C5" s="204"/>
      <c r="D5" s="204"/>
      <c r="E5" s="205"/>
    </row>
    <row r="6" spans="1:10" ht="45" customHeight="1" x14ac:dyDescent="0.25">
      <c r="A6" s="30"/>
      <c r="B6" s="31" t="s">
        <v>91</v>
      </c>
      <c r="C6" s="32" t="s">
        <v>92</v>
      </c>
      <c r="D6" s="32" t="s">
        <v>93</v>
      </c>
      <c r="E6" s="32" t="s">
        <v>94</v>
      </c>
      <c r="F6" s="30"/>
      <c r="H6" s="193" t="s">
        <v>248</v>
      </c>
      <c r="I6" s="193"/>
      <c r="J6" s="193"/>
    </row>
    <row r="7" spans="1:10" ht="15.75" customHeight="1" x14ac:dyDescent="0.25">
      <c r="A7" s="30"/>
      <c r="B7" s="33" t="s">
        <v>95</v>
      </c>
      <c r="C7" s="34">
        <v>3.101</v>
      </c>
      <c r="D7" s="34">
        <v>0.13800000000000001</v>
      </c>
      <c r="E7" s="34">
        <v>2.7689999999999999E-2</v>
      </c>
      <c r="F7" s="30"/>
      <c r="H7" s="193"/>
      <c r="I7" s="193"/>
      <c r="J7" s="193"/>
    </row>
    <row r="8" spans="1:10" ht="15.75" x14ac:dyDescent="0.25">
      <c r="A8" s="30"/>
      <c r="B8" s="33" t="s">
        <v>96</v>
      </c>
      <c r="C8" s="34">
        <v>2.2309999999999999</v>
      </c>
      <c r="D8" s="34">
        <v>1.1759999999999999</v>
      </c>
      <c r="E8" s="34">
        <v>0.11600000000000001</v>
      </c>
      <c r="F8" s="30"/>
    </row>
    <row r="9" spans="1:10" ht="15.75" x14ac:dyDescent="0.25">
      <c r="A9" s="30"/>
      <c r="B9" s="33" t="s">
        <v>97</v>
      </c>
      <c r="C9" s="34">
        <v>2.2309999999999999</v>
      </c>
      <c r="D9" s="34">
        <v>0.90700000000000003</v>
      </c>
      <c r="E9" s="34">
        <v>0.28299999999999997</v>
      </c>
      <c r="F9" s="30"/>
    </row>
    <row r="10" spans="1:10" ht="15.75" x14ac:dyDescent="0.25">
      <c r="A10" s="30"/>
      <c r="B10" s="33" t="s">
        <v>98</v>
      </c>
      <c r="C10" s="34">
        <v>1.611</v>
      </c>
      <c r="D10" s="34">
        <v>0.13900000000000001</v>
      </c>
      <c r="E10" s="34">
        <v>2.745E-3</v>
      </c>
      <c r="F10" s="30"/>
    </row>
    <row r="11" spans="1:10" ht="15.75" x14ac:dyDescent="0.25">
      <c r="A11" s="30"/>
      <c r="B11" s="35" t="s">
        <v>99</v>
      </c>
      <c r="C11" s="34">
        <v>2.613</v>
      </c>
      <c r="D11" s="34">
        <v>0.14899999999999999</v>
      </c>
      <c r="E11" s="34">
        <v>0.154</v>
      </c>
      <c r="F11" s="30"/>
    </row>
    <row r="12" spans="1:10" ht="15.75" x14ac:dyDescent="0.25">
      <c r="A12" s="30"/>
      <c r="B12" s="33" t="s">
        <v>100</v>
      </c>
      <c r="C12" s="34">
        <v>1.611</v>
      </c>
      <c r="D12" s="34">
        <v>1.5834999999999999</v>
      </c>
      <c r="E12" s="34">
        <v>5.1000000000000004E-3</v>
      </c>
      <c r="F12" s="30"/>
    </row>
    <row r="13" spans="1:10" ht="15.75" x14ac:dyDescent="0.25">
      <c r="A13" s="30"/>
      <c r="B13" s="33" t="s">
        <v>241</v>
      </c>
      <c r="C13" s="34">
        <v>2.5049999999999999</v>
      </c>
      <c r="D13" s="34"/>
      <c r="E13" s="34"/>
      <c r="F13" s="30"/>
    </row>
    <row r="14" spans="1:10" ht="15.75" x14ac:dyDescent="0.25">
      <c r="A14" s="30"/>
      <c r="B14" s="33" t="s">
        <v>274</v>
      </c>
      <c r="C14" s="34">
        <v>2.2269999999999999</v>
      </c>
      <c r="D14" s="34"/>
      <c r="E14" s="34"/>
      <c r="F14" s="30"/>
    </row>
    <row r="15" spans="1:10" ht="15.75" x14ac:dyDescent="0.25">
      <c r="A15" s="30"/>
      <c r="B15" s="33" t="s">
        <v>275</v>
      </c>
      <c r="C15" s="34">
        <v>2.5409999999999999</v>
      </c>
      <c r="D15" s="34"/>
      <c r="E15" s="34"/>
      <c r="F15" s="30"/>
    </row>
    <row r="16" spans="1:10" ht="15.75" x14ac:dyDescent="0.25">
      <c r="A16" s="30"/>
      <c r="B16" s="209" t="s">
        <v>101</v>
      </c>
      <c r="C16" s="210"/>
      <c r="D16" s="210"/>
      <c r="E16" s="211"/>
      <c r="F16" s="30"/>
    </row>
    <row r="17" spans="1:9" ht="15.75" x14ac:dyDescent="0.25">
      <c r="A17" s="30"/>
      <c r="B17" s="33" t="s">
        <v>95</v>
      </c>
      <c r="C17" s="34">
        <f>+C7</f>
        <v>3.101</v>
      </c>
      <c r="D17" s="34">
        <v>0.13800000000000001</v>
      </c>
      <c r="E17" s="34">
        <v>2.7689999999999999E-2</v>
      </c>
      <c r="F17" s="30"/>
    </row>
    <row r="18" spans="1:9" ht="15.75" x14ac:dyDescent="0.25">
      <c r="A18" s="30"/>
      <c r="B18" s="33" t="s">
        <v>98</v>
      </c>
      <c r="C18" s="34">
        <f>+C10</f>
        <v>1.611</v>
      </c>
      <c r="D18" s="34">
        <v>2.7E-2</v>
      </c>
      <c r="E18" s="34">
        <v>2.745E-3</v>
      </c>
      <c r="F18" s="30"/>
    </row>
    <row r="19" spans="1:9" ht="15.75" x14ac:dyDescent="0.25">
      <c r="A19" s="30"/>
      <c r="B19" s="33" t="s">
        <v>102</v>
      </c>
      <c r="C19" s="34">
        <f>+C11</f>
        <v>2.613</v>
      </c>
      <c r="D19" s="34">
        <v>0.122</v>
      </c>
      <c r="E19" s="34">
        <v>2.4420000000000001E-2</v>
      </c>
      <c r="F19" s="30"/>
    </row>
    <row r="20" spans="1:9" ht="15.75" x14ac:dyDescent="0.25">
      <c r="A20" s="30"/>
      <c r="B20" s="209" t="s">
        <v>103</v>
      </c>
      <c r="C20" s="210"/>
      <c r="D20" s="210"/>
      <c r="E20" s="211"/>
      <c r="F20" s="30"/>
    </row>
    <row r="21" spans="1:9" ht="15.75" x14ac:dyDescent="0.25">
      <c r="A21" s="30"/>
      <c r="B21" s="33" t="s">
        <v>95</v>
      </c>
      <c r="C21" s="34">
        <f>+C7</f>
        <v>3.101</v>
      </c>
      <c r="D21" s="34">
        <v>0.433</v>
      </c>
      <c r="E21" s="34">
        <v>2.7689999999999999E-2</v>
      </c>
      <c r="F21" s="30"/>
    </row>
    <row r="22" spans="1:9" ht="15.75" x14ac:dyDescent="0.25">
      <c r="A22" s="30"/>
      <c r="B22" s="33" t="s">
        <v>104</v>
      </c>
      <c r="C22" s="34">
        <v>2.2309999999999999</v>
      </c>
      <c r="D22" s="34">
        <v>0.34599999999999997</v>
      </c>
      <c r="E22" s="34">
        <v>2.2110000000000001E-2</v>
      </c>
      <c r="F22" s="30"/>
    </row>
    <row r="23" spans="1:9" ht="15.75" x14ac:dyDescent="0.25">
      <c r="A23" s="30"/>
      <c r="B23" s="33" t="s">
        <v>98</v>
      </c>
      <c r="C23" s="34">
        <f>+C10</f>
        <v>1.611</v>
      </c>
      <c r="D23" s="34">
        <v>0.13900000000000001</v>
      </c>
      <c r="E23" s="34">
        <v>2.745E-3</v>
      </c>
      <c r="F23" s="30"/>
    </row>
    <row r="24" spans="1:9" ht="15" x14ac:dyDescent="0.25">
      <c r="A24" s="36"/>
      <c r="B24" s="33" t="s">
        <v>102</v>
      </c>
      <c r="C24" s="34">
        <f>+C11</f>
        <v>2.613</v>
      </c>
      <c r="D24" s="34">
        <v>0.38200000000000001</v>
      </c>
      <c r="E24" s="34">
        <v>2.4420000000000001E-2</v>
      </c>
      <c r="F24" s="37"/>
    </row>
    <row r="25" spans="1:9" ht="15" x14ac:dyDescent="0.25">
      <c r="A25" s="36"/>
      <c r="B25" s="38"/>
      <c r="C25" s="39"/>
      <c r="D25" s="39"/>
      <c r="E25" s="39"/>
      <c r="F25" s="37"/>
    </row>
    <row r="26" spans="1:9" ht="15" x14ac:dyDescent="0.25">
      <c r="A26" s="40"/>
      <c r="B26" s="48" t="s">
        <v>105</v>
      </c>
      <c r="C26" s="208" t="s">
        <v>285</v>
      </c>
      <c r="D26" s="208"/>
      <c r="E26" s="208"/>
      <c r="F26" s="208"/>
    </row>
    <row r="27" spans="1:9" ht="15" x14ac:dyDescent="0.25">
      <c r="A27" s="40"/>
      <c r="B27" s="48" t="s">
        <v>110</v>
      </c>
      <c r="C27" s="212" t="s">
        <v>284</v>
      </c>
      <c r="D27" s="213"/>
      <c r="E27" s="213"/>
      <c r="F27" s="213"/>
      <c r="G27"/>
      <c r="H27"/>
      <c r="I27"/>
    </row>
    <row r="28" spans="1:9" ht="15" x14ac:dyDescent="0.25">
      <c r="A28" s="40"/>
      <c r="B28" s="48" t="s">
        <v>111</v>
      </c>
      <c r="C28" s="216" t="s">
        <v>283</v>
      </c>
      <c r="D28" s="213"/>
      <c r="E28" s="213"/>
      <c r="F28" s="213"/>
    </row>
    <row r="29" spans="1:9" ht="28.5" x14ac:dyDescent="0.45">
      <c r="A29" s="41"/>
      <c r="B29" s="207" t="s">
        <v>185</v>
      </c>
      <c r="C29" s="207"/>
      <c r="D29" s="207"/>
      <c r="E29" s="42"/>
      <c r="F29" s="42"/>
    </row>
    <row r="30" spans="1:9" ht="15" x14ac:dyDescent="0.25">
      <c r="A30" s="41"/>
      <c r="B30" s="136" t="s">
        <v>107</v>
      </c>
      <c r="C30" s="49" t="s">
        <v>106</v>
      </c>
      <c r="D30" s="49" t="s">
        <v>3</v>
      </c>
      <c r="E30" s="27"/>
      <c r="F30" s="42"/>
    </row>
    <row r="31" spans="1:9" ht="28.5" customHeight="1" x14ac:dyDescent="0.2">
      <c r="A31" s="41"/>
      <c r="B31" s="137" t="s">
        <v>183</v>
      </c>
      <c r="C31" s="45">
        <v>0.5101</v>
      </c>
      <c r="D31" s="45" t="s">
        <v>186</v>
      </c>
      <c r="E31" s="27"/>
      <c r="F31" s="42"/>
    </row>
    <row r="32" spans="1:9" ht="28.5" x14ac:dyDescent="0.45">
      <c r="A32" s="41"/>
      <c r="B32" s="133"/>
      <c r="C32" s="133"/>
      <c r="D32" s="133"/>
      <c r="E32" s="42"/>
      <c r="F32" s="42"/>
    </row>
    <row r="33" spans="1:6" ht="28.5" x14ac:dyDescent="0.45">
      <c r="A33" s="41"/>
      <c r="B33" s="207" t="s">
        <v>112</v>
      </c>
      <c r="C33" s="207"/>
      <c r="D33" s="207"/>
      <c r="E33" s="42"/>
      <c r="F33" s="42"/>
    </row>
    <row r="34" spans="1:6" x14ac:dyDescent="0.2">
      <c r="A34" s="41"/>
      <c r="B34" s="41"/>
      <c r="C34" s="41"/>
      <c r="D34" s="42"/>
      <c r="E34" s="42"/>
      <c r="F34" s="42"/>
    </row>
    <row r="35" spans="1:6" ht="15" x14ac:dyDescent="0.25">
      <c r="A35" s="43"/>
      <c r="B35" s="150" t="s">
        <v>107</v>
      </c>
      <c r="C35" s="146" t="s">
        <v>165</v>
      </c>
      <c r="D35" s="146" t="s">
        <v>106</v>
      </c>
      <c r="E35" s="151" t="s">
        <v>3</v>
      </c>
      <c r="F35" s="44"/>
    </row>
    <row r="36" spans="1:6" ht="28.5" x14ac:dyDescent="0.2">
      <c r="A36" s="43"/>
      <c r="B36" s="161" t="s">
        <v>108</v>
      </c>
      <c r="C36" s="45">
        <v>2020</v>
      </c>
      <c r="D36" s="45">
        <v>3.6499999999999998E-2</v>
      </c>
      <c r="E36" s="149" t="s">
        <v>109</v>
      </c>
      <c r="F36" s="44"/>
    </row>
    <row r="37" spans="1:6" ht="28.5" x14ac:dyDescent="0.2">
      <c r="A37" s="43"/>
      <c r="B37" s="148"/>
      <c r="C37" s="45">
        <v>2019</v>
      </c>
      <c r="D37" s="45">
        <v>3.6499999999999998E-2</v>
      </c>
      <c r="E37" s="149" t="s">
        <v>109</v>
      </c>
      <c r="F37" s="44"/>
    </row>
    <row r="38" spans="1:6" ht="28.5" x14ac:dyDescent="0.2">
      <c r="A38" s="43"/>
      <c r="B38" s="161"/>
      <c r="C38" s="45">
        <v>2018</v>
      </c>
      <c r="D38" s="45">
        <v>3.95E-2</v>
      </c>
      <c r="E38" s="149" t="s">
        <v>109</v>
      </c>
      <c r="F38" s="44"/>
    </row>
    <row r="39" spans="1:6" ht="28.5" x14ac:dyDescent="0.2">
      <c r="A39" s="43"/>
      <c r="B39" s="148"/>
      <c r="C39" s="45">
        <v>2017</v>
      </c>
      <c r="D39" s="45">
        <v>7.5399999999999995E-2</v>
      </c>
      <c r="E39" s="149" t="s">
        <v>109</v>
      </c>
      <c r="F39" s="44"/>
    </row>
    <row r="40" spans="1:6" ht="28.5" x14ac:dyDescent="0.2">
      <c r="A40" s="43"/>
      <c r="B40" s="147"/>
      <c r="C40" s="45">
        <v>2016</v>
      </c>
      <c r="D40" s="45">
        <v>5.57E-2</v>
      </c>
      <c r="E40" s="149" t="s">
        <v>109</v>
      </c>
      <c r="F40" s="46"/>
    </row>
    <row r="41" spans="1:6" ht="28.5" x14ac:dyDescent="0.2">
      <c r="A41" s="43"/>
      <c r="B41" s="148"/>
      <c r="C41" s="45">
        <v>2015</v>
      </c>
      <c r="D41" s="45">
        <v>3.8100000000000002E-2</v>
      </c>
      <c r="E41" s="149" t="s">
        <v>109</v>
      </c>
      <c r="F41" s="46"/>
    </row>
    <row r="42" spans="1:6" ht="28.5" x14ac:dyDescent="0.2">
      <c r="A42" s="43"/>
      <c r="B42" s="148"/>
      <c r="C42" s="152">
        <v>2014</v>
      </c>
      <c r="D42" s="152">
        <v>0.11700000000000001</v>
      </c>
      <c r="E42" s="153" t="s">
        <v>109</v>
      </c>
      <c r="F42" s="46"/>
    </row>
    <row r="43" spans="1:6" x14ac:dyDescent="0.2">
      <c r="A43" s="41"/>
      <c r="B43" s="41"/>
      <c r="C43" s="41"/>
      <c r="D43" s="42"/>
      <c r="E43" s="42"/>
      <c r="F43" s="42"/>
    </row>
    <row r="44" spans="1:6" x14ac:dyDescent="0.2">
      <c r="A44" s="41"/>
      <c r="B44" s="41"/>
      <c r="C44" s="41"/>
      <c r="D44" s="42"/>
      <c r="E44" s="42"/>
      <c r="F44" s="42"/>
    </row>
    <row r="45" spans="1:6" x14ac:dyDescent="0.2">
      <c r="A45" s="41"/>
      <c r="B45" s="41"/>
      <c r="C45" s="41"/>
      <c r="D45" s="42"/>
      <c r="E45" s="42"/>
      <c r="F45" s="42"/>
    </row>
    <row r="46" spans="1:6" ht="15" x14ac:dyDescent="0.25">
      <c r="A46" s="47"/>
      <c r="B46" s="48" t="s">
        <v>105</v>
      </c>
      <c r="C46" s="208" t="s">
        <v>285</v>
      </c>
      <c r="D46" s="208"/>
      <c r="E46" s="208"/>
      <c r="F46" s="208"/>
    </row>
    <row r="47" spans="1:6" ht="15" x14ac:dyDescent="0.25">
      <c r="A47" s="47"/>
      <c r="B47" s="48" t="s">
        <v>110</v>
      </c>
      <c r="C47" s="212" t="s">
        <v>284</v>
      </c>
      <c r="D47" s="213"/>
      <c r="E47" s="213"/>
      <c r="F47" s="213"/>
    </row>
    <row r="48" spans="1:6" ht="15" x14ac:dyDescent="0.25">
      <c r="A48" s="47"/>
      <c r="B48" s="48" t="s">
        <v>111</v>
      </c>
      <c r="C48" s="216" t="s">
        <v>283</v>
      </c>
      <c r="D48" s="213"/>
      <c r="E48" s="213"/>
      <c r="F48" s="213"/>
    </row>
    <row r="49" spans="2:7" ht="28.5" x14ac:dyDescent="0.45">
      <c r="B49" s="207" t="s">
        <v>256</v>
      </c>
      <c r="C49" s="207"/>
      <c r="D49" s="207"/>
    </row>
    <row r="50" spans="2:7" ht="15" x14ac:dyDescent="0.25">
      <c r="B50" s="68"/>
      <c r="C50" s="68"/>
      <c r="D50" s="68"/>
    </row>
    <row r="51" spans="2:7" ht="15" x14ac:dyDescent="0.25">
      <c r="B51" s="219" t="s">
        <v>114</v>
      </c>
      <c r="C51" s="217" t="s">
        <v>106</v>
      </c>
      <c r="D51" s="218"/>
      <c r="F51" s="52" t="s">
        <v>257</v>
      </c>
      <c r="G51" s="52" t="s">
        <v>148</v>
      </c>
    </row>
    <row r="52" spans="2:7" ht="16.5" x14ac:dyDescent="0.25">
      <c r="B52" s="220"/>
      <c r="C52" s="50" t="s">
        <v>117</v>
      </c>
      <c r="D52" s="50" t="s">
        <v>118</v>
      </c>
      <c r="F52" s="53" t="s">
        <v>120</v>
      </c>
      <c r="G52" s="51">
        <v>1.1000000000000001</v>
      </c>
    </row>
    <row r="53" spans="2:7" x14ac:dyDescent="0.2">
      <c r="B53" s="51" t="s">
        <v>113</v>
      </c>
      <c r="C53" s="51">
        <v>5.8099999999999999E-2</v>
      </c>
      <c r="D53" s="54">
        <v>0</v>
      </c>
    </row>
    <row r="54" spans="2:7" x14ac:dyDescent="0.2">
      <c r="B54" s="51" t="s">
        <v>115</v>
      </c>
      <c r="C54" s="51">
        <v>4.0000000000000001E-3</v>
      </c>
      <c r="D54" s="116">
        <v>2.9999999999999997E-4</v>
      </c>
    </row>
    <row r="55" spans="2:7" x14ac:dyDescent="0.2">
      <c r="B55" s="51" t="s">
        <v>116</v>
      </c>
      <c r="C55" s="51">
        <v>2E-3</v>
      </c>
      <c r="D55" s="54">
        <v>0</v>
      </c>
    </row>
    <row r="58" spans="2:7" ht="28.5" customHeight="1" x14ac:dyDescent="0.2">
      <c r="B58" s="206" t="s">
        <v>258</v>
      </c>
      <c r="C58" s="206"/>
      <c r="D58" s="206"/>
      <c r="E58" s="69"/>
      <c r="F58" s="69"/>
    </row>
    <row r="59" spans="2:7" ht="15" x14ac:dyDescent="0.2">
      <c r="B59" s="215" t="s">
        <v>121</v>
      </c>
      <c r="C59" s="215"/>
    </row>
    <row r="60" spans="2:7" ht="30.75" customHeight="1" x14ac:dyDescent="0.2">
      <c r="B60" s="55" t="s">
        <v>114</v>
      </c>
      <c r="C60" s="56" t="s">
        <v>125</v>
      </c>
      <c r="D60"/>
    </row>
    <row r="61" spans="2:7" ht="16.5" customHeight="1" x14ac:dyDescent="0.2">
      <c r="B61" s="57" t="s">
        <v>122</v>
      </c>
      <c r="C61" s="57">
        <v>2.63</v>
      </c>
      <c r="D61"/>
    </row>
    <row r="62" spans="2:7" x14ac:dyDescent="0.2">
      <c r="B62" s="51" t="s">
        <v>262</v>
      </c>
      <c r="C62" s="51">
        <v>4.38</v>
      </c>
    </row>
    <row r="63" spans="2:7" x14ac:dyDescent="0.2">
      <c r="B63" s="51" t="s">
        <v>261</v>
      </c>
      <c r="C63" s="51">
        <v>0.876</v>
      </c>
    </row>
    <row r="64" spans="2:7" x14ac:dyDescent="0.2">
      <c r="B64" s="22" t="s">
        <v>157</v>
      </c>
      <c r="C64" s="51">
        <v>0.876</v>
      </c>
    </row>
    <row r="65" spans="2:5" x14ac:dyDescent="0.2">
      <c r="B65" s="22" t="s">
        <v>158</v>
      </c>
      <c r="C65" s="51">
        <v>0.876</v>
      </c>
    </row>
    <row r="66" spans="2:5" ht="15" x14ac:dyDescent="0.2">
      <c r="B66" s="22"/>
      <c r="C66" s="21"/>
      <c r="E66" s="20"/>
    </row>
    <row r="67" spans="2:5" ht="15" x14ac:dyDescent="0.2">
      <c r="B67" s="215" t="s">
        <v>123</v>
      </c>
      <c r="C67" s="215"/>
      <c r="E67" s="20"/>
    </row>
    <row r="68" spans="2:5" ht="30" x14ac:dyDescent="0.2">
      <c r="B68" s="55" t="s">
        <v>114</v>
      </c>
      <c r="C68" s="56" t="s">
        <v>124</v>
      </c>
      <c r="E68" s="20"/>
    </row>
    <row r="69" spans="2:5" x14ac:dyDescent="0.2">
      <c r="B69" s="57" t="s">
        <v>126</v>
      </c>
      <c r="C69" s="57">
        <v>0.2</v>
      </c>
      <c r="E69" s="20"/>
    </row>
    <row r="70" spans="2:5" x14ac:dyDescent="0.2">
      <c r="B70" s="57" t="s">
        <v>127</v>
      </c>
      <c r="C70" s="57">
        <v>0.2</v>
      </c>
      <c r="E70" s="20"/>
    </row>
    <row r="71" spans="2:5" x14ac:dyDescent="0.2">
      <c r="B71" s="51" t="s">
        <v>128</v>
      </c>
      <c r="C71" s="51">
        <v>0.05</v>
      </c>
      <c r="E71" s="20"/>
    </row>
    <row r="72" spans="2:5" x14ac:dyDescent="0.2">
      <c r="B72" s="51" t="s">
        <v>261</v>
      </c>
      <c r="C72" s="51">
        <v>2.5000000000000001E-2</v>
      </c>
      <c r="D72" s="11"/>
    </row>
    <row r="73" spans="2:5" x14ac:dyDescent="0.2">
      <c r="B73" s="5"/>
      <c r="C73" s="3"/>
      <c r="D73" s="11"/>
    </row>
    <row r="74" spans="2:5" ht="15.75" customHeight="1" x14ac:dyDescent="0.2">
      <c r="B74" s="214" t="s">
        <v>130</v>
      </c>
      <c r="C74" s="214"/>
      <c r="D74" s="214"/>
    </row>
    <row r="75" spans="2:5" x14ac:dyDescent="0.2">
      <c r="B75" s="214"/>
      <c r="C75" s="214"/>
      <c r="D75" s="214"/>
    </row>
    <row r="76" spans="2:5" ht="25.5" x14ac:dyDescent="0.2">
      <c r="B76" s="66" t="s">
        <v>129</v>
      </c>
      <c r="C76" s="67" t="s">
        <v>131</v>
      </c>
      <c r="D76" s="11" t="s">
        <v>259</v>
      </c>
    </row>
    <row r="77" spans="2:5" x14ac:dyDescent="0.2">
      <c r="B77" s="59" t="s">
        <v>31</v>
      </c>
      <c r="C77" s="60">
        <v>1</v>
      </c>
      <c r="D77" s="11"/>
    </row>
    <row r="78" spans="2:5" x14ac:dyDescent="0.2">
      <c r="B78" s="59" t="s">
        <v>169</v>
      </c>
      <c r="C78" s="118">
        <v>21</v>
      </c>
      <c r="D78" s="11"/>
    </row>
    <row r="79" spans="2:5" x14ac:dyDescent="0.2">
      <c r="B79" s="59" t="s">
        <v>170</v>
      </c>
      <c r="C79" s="118">
        <v>310</v>
      </c>
      <c r="D79" s="11"/>
    </row>
    <row r="80" spans="2:5" x14ac:dyDescent="0.2">
      <c r="B80" s="59" t="s">
        <v>240</v>
      </c>
      <c r="C80" s="61">
        <v>1300</v>
      </c>
      <c r="D80" s="11"/>
    </row>
    <row r="81" spans="2:3" x14ac:dyDescent="0.2">
      <c r="B81" s="59" t="s">
        <v>32</v>
      </c>
      <c r="C81" s="61">
        <v>1300</v>
      </c>
    </row>
    <row r="82" spans="2:3" x14ac:dyDescent="0.2">
      <c r="B82" s="59" t="s">
        <v>33</v>
      </c>
      <c r="C82" s="61">
        <v>5</v>
      </c>
    </row>
    <row r="83" spans="2:3" x14ac:dyDescent="0.2">
      <c r="B83" s="62" t="s">
        <v>34</v>
      </c>
      <c r="C83" s="63">
        <v>1500</v>
      </c>
    </row>
    <row r="84" spans="2:3" x14ac:dyDescent="0.2">
      <c r="B84" s="62" t="s">
        <v>35</v>
      </c>
      <c r="C84" s="63">
        <v>1E-3</v>
      </c>
    </row>
    <row r="85" spans="2:3" x14ac:dyDescent="0.2">
      <c r="B85" s="62" t="s">
        <v>276</v>
      </c>
      <c r="C85" s="63">
        <v>2447</v>
      </c>
    </row>
    <row r="86" spans="2:3" x14ac:dyDescent="0.2">
      <c r="B86" s="62" t="s">
        <v>277</v>
      </c>
      <c r="C86" s="63">
        <v>2150</v>
      </c>
    </row>
    <row r="87" spans="2:3" x14ac:dyDescent="0.2">
      <c r="B87" s="62" t="s">
        <v>201</v>
      </c>
      <c r="C87" s="63">
        <v>3260</v>
      </c>
    </row>
    <row r="88" spans="2:3" x14ac:dyDescent="0.2">
      <c r="B88" s="62" t="s">
        <v>278</v>
      </c>
      <c r="C88" s="63">
        <v>3260</v>
      </c>
    </row>
    <row r="89" spans="2:3" x14ac:dyDescent="0.2">
      <c r="B89" s="62" t="s">
        <v>36</v>
      </c>
      <c r="C89" s="63">
        <v>1943</v>
      </c>
    </row>
    <row r="90" spans="2:3" x14ac:dyDescent="0.2">
      <c r="B90" s="62" t="s">
        <v>37</v>
      </c>
      <c r="C90" s="63">
        <v>1770</v>
      </c>
    </row>
    <row r="91" spans="2:3" x14ac:dyDescent="0.2">
      <c r="B91" s="62" t="s">
        <v>279</v>
      </c>
      <c r="C91" s="63">
        <v>1526</v>
      </c>
    </row>
    <row r="92" spans="2:3" x14ac:dyDescent="0.2">
      <c r="B92" s="62" t="s">
        <v>38</v>
      </c>
      <c r="C92" s="63">
        <v>1555</v>
      </c>
    </row>
    <row r="93" spans="2:3" x14ac:dyDescent="0.2">
      <c r="B93" s="62" t="s">
        <v>39</v>
      </c>
      <c r="C93" s="63">
        <v>2795</v>
      </c>
    </row>
    <row r="94" spans="2:3" x14ac:dyDescent="0.2">
      <c r="B94" s="62" t="s">
        <v>40</v>
      </c>
      <c r="C94" s="63">
        <v>1585</v>
      </c>
    </row>
    <row r="95" spans="2:3" x14ac:dyDescent="0.2">
      <c r="B95" s="62" t="s">
        <v>280</v>
      </c>
      <c r="C95" s="63">
        <v>1724.9999999999998</v>
      </c>
    </row>
    <row r="96" spans="2:3" x14ac:dyDescent="0.2">
      <c r="B96" s="62" t="s">
        <v>41</v>
      </c>
      <c r="C96" s="63">
        <v>4657</v>
      </c>
    </row>
    <row r="97" spans="2:3" x14ac:dyDescent="0.2">
      <c r="B97" s="62" t="s">
        <v>26</v>
      </c>
      <c r="C97" s="63">
        <v>3300.0000000000005</v>
      </c>
    </row>
    <row r="98" spans="2:3" x14ac:dyDescent="0.2">
      <c r="B98" s="62" t="s">
        <v>27</v>
      </c>
      <c r="C98" s="63">
        <v>10350</v>
      </c>
    </row>
    <row r="99" spans="2:3" x14ac:dyDescent="0.2">
      <c r="B99" s="59" t="s">
        <v>42</v>
      </c>
      <c r="C99" s="61">
        <v>3800</v>
      </c>
    </row>
    <row r="100" spans="2:3" x14ac:dyDescent="0.2">
      <c r="B100" s="59" t="s">
        <v>43</v>
      </c>
      <c r="C100" s="61">
        <v>4800</v>
      </c>
    </row>
    <row r="101" spans="2:3" x14ac:dyDescent="0.2">
      <c r="B101" s="59" t="s">
        <v>202</v>
      </c>
      <c r="C101" s="61">
        <v>8590</v>
      </c>
    </row>
    <row r="102" spans="2:3" x14ac:dyDescent="0.2">
      <c r="B102" s="59" t="s">
        <v>203</v>
      </c>
      <c r="C102" s="61">
        <v>7670</v>
      </c>
    </row>
    <row r="103" spans="2:3" x14ac:dyDescent="0.2">
      <c r="B103" s="59" t="s">
        <v>44</v>
      </c>
      <c r="C103" s="61">
        <v>8100</v>
      </c>
    </row>
    <row r="104" spans="2:3" x14ac:dyDescent="0.2">
      <c r="B104" s="59" t="s">
        <v>45</v>
      </c>
      <c r="C104" s="61">
        <v>13900</v>
      </c>
    </row>
    <row r="105" spans="2:3" x14ac:dyDescent="0.2">
      <c r="B105" s="59" t="s">
        <v>46</v>
      </c>
      <c r="C105" s="61">
        <v>4</v>
      </c>
    </row>
    <row r="106" spans="2:3" x14ac:dyDescent="0.2">
      <c r="B106" s="59" t="s">
        <v>47</v>
      </c>
      <c r="C106" s="61">
        <v>9</v>
      </c>
    </row>
    <row r="107" spans="2:3" x14ac:dyDescent="0.2">
      <c r="B107" s="59" t="s">
        <v>48</v>
      </c>
      <c r="C107" s="61">
        <v>12</v>
      </c>
    </row>
    <row r="108" spans="2:3" x14ac:dyDescent="0.2">
      <c r="B108" s="62" t="s">
        <v>204</v>
      </c>
      <c r="C108" s="63">
        <v>1750</v>
      </c>
    </row>
    <row r="109" spans="2:3" x14ac:dyDescent="0.2">
      <c r="B109" s="62" t="s">
        <v>49</v>
      </c>
      <c r="C109" s="63">
        <v>5400</v>
      </c>
    </row>
    <row r="110" spans="2:3" x14ac:dyDescent="0.2">
      <c r="B110" s="62" t="s">
        <v>205</v>
      </c>
      <c r="C110" s="63">
        <v>1470</v>
      </c>
    </row>
    <row r="111" spans="2:3" x14ac:dyDescent="0.2">
      <c r="B111" s="62" t="s">
        <v>50</v>
      </c>
      <c r="C111" s="63">
        <v>90</v>
      </c>
    </row>
    <row r="112" spans="2:3" x14ac:dyDescent="0.2">
      <c r="B112" s="62" t="s">
        <v>51</v>
      </c>
      <c r="C112" s="63">
        <v>470</v>
      </c>
    </row>
    <row r="113" spans="2:3" x14ac:dyDescent="0.2">
      <c r="B113" s="62" t="s">
        <v>52</v>
      </c>
      <c r="C113" s="63">
        <v>600</v>
      </c>
    </row>
    <row r="114" spans="2:3" x14ac:dyDescent="0.2">
      <c r="B114" s="62" t="s">
        <v>53</v>
      </c>
      <c r="C114" s="63">
        <v>1800</v>
      </c>
    </row>
    <row r="115" spans="2:3" x14ac:dyDescent="0.2">
      <c r="B115" s="62" t="s">
        <v>206</v>
      </c>
      <c r="C115" s="63">
        <v>148</v>
      </c>
    </row>
    <row r="116" spans="2:3" x14ac:dyDescent="0.2">
      <c r="B116" s="62" t="s">
        <v>207</v>
      </c>
      <c r="C116" s="63">
        <v>127</v>
      </c>
    </row>
    <row r="117" spans="2:3" x14ac:dyDescent="0.2">
      <c r="B117" s="64" t="s">
        <v>208</v>
      </c>
      <c r="C117" s="65">
        <v>525</v>
      </c>
    </row>
    <row r="118" spans="2:3" x14ac:dyDescent="0.2">
      <c r="B118" s="62" t="s">
        <v>54</v>
      </c>
      <c r="C118" s="63">
        <v>23900</v>
      </c>
    </row>
    <row r="119" spans="2:3" x14ac:dyDescent="0.2">
      <c r="B119" s="62" t="s">
        <v>55</v>
      </c>
      <c r="C119" s="63">
        <v>2800</v>
      </c>
    </row>
    <row r="120" spans="2:3" x14ac:dyDescent="0.2">
      <c r="B120" s="62" t="s">
        <v>56</v>
      </c>
      <c r="C120" s="63">
        <v>1000</v>
      </c>
    </row>
    <row r="121" spans="2:3" x14ac:dyDescent="0.2">
      <c r="B121" s="62" t="s">
        <v>57</v>
      </c>
      <c r="C121" s="63">
        <v>300</v>
      </c>
    </row>
    <row r="122" spans="2:3" x14ac:dyDescent="0.2">
      <c r="B122" s="62" t="s">
        <v>58</v>
      </c>
      <c r="C122" s="63">
        <v>3800</v>
      </c>
    </row>
    <row r="123" spans="2:3" x14ac:dyDescent="0.2">
      <c r="B123" s="62" t="s">
        <v>209</v>
      </c>
      <c r="C123" s="63">
        <v>16</v>
      </c>
    </row>
    <row r="124" spans="2:3" x14ac:dyDescent="0.2">
      <c r="B124" s="62" t="s">
        <v>59</v>
      </c>
      <c r="C124" s="63">
        <v>140</v>
      </c>
    </row>
    <row r="125" spans="2:3" x14ac:dyDescent="0.2">
      <c r="B125" s="62" t="s">
        <v>210</v>
      </c>
      <c r="C125" s="63">
        <v>4</v>
      </c>
    </row>
    <row r="126" spans="2:3" x14ac:dyDescent="0.2">
      <c r="B126" s="62" t="s">
        <v>60</v>
      </c>
      <c r="C126" s="63">
        <v>2900</v>
      </c>
    </row>
    <row r="127" spans="2:3" x14ac:dyDescent="0.2">
      <c r="B127" s="62" t="s">
        <v>61</v>
      </c>
      <c r="C127" s="63">
        <v>11700</v>
      </c>
    </row>
    <row r="128" spans="2:3" x14ac:dyDescent="0.2">
      <c r="B128" s="62" t="s">
        <v>211</v>
      </c>
      <c r="C128" s="63">
        <v>1210</v>
      </c>
    </row>
    <row r="129" spans="2:3" x14ac:dyDescent="0.2">
      <c r="B129" s="62" t="s">
        <v>212</v>
      </c>
      <c r="C129" s="63">
        <v>1330</v>
      </c>
    </row>
    <row r="130" spans="2:3" x14ac:dyDescent="0.2">
      <c r="B130" s="62" t="s">
        <v>62</v>
      </c>
      <c r="C130" s="63">
        <v>6300</v>
      </c>
    </row>
    <row r="131" spans="2:3" x14ac:dyDescent="0.2">
      <c r="B131" s="62" t="s">
        <v>63</v>
      </c>
      <c r="C131" s="63">
        <v>560</v>
      </c>
    </row>
    <row r="132" spans="2:3" x14ac:dyDescent="0.2">
      <c r="B132" s="62" t="s">
        <v>213</v>
      </c>
      <c r="C132" s="63">
        <v>858</v>
      </c>
    </row>
    <row r="133" spans="2:3" x14ac:dyDescent="0.2">
      <c r="B133" s="62" t="s">
        <v>64</v>
      </c>
      <c r="C133" s="63">
        <v>650</v>
      </c>
    </row>
    <row r="134" spans="2:3" x14ac:dyDescent="0.2">
      <c r="B134" s="62" t="s">
        <v>214</v>
      </c>
      <c r="C134" s="63">
        <v>804</v>
      </c>
    </row>
    <row r="135" spans="2:3" x14ac:dyDescent="0.2">
      <c r="B135" s="62" t="s">
        <v>65</v>
      </c>
      <c r="C135" s="63">
        <v>150</v>
      </c>
    </row>
    <row r="136" spans="2:3" x14ac:dyDescent="0.2">
      <c r="B136" s="62" t="s">
        <v>66</v>
      </c>
      <c r="C136" s="63">
        <v>1300</v>
      </c>
    </row>
    <row r="137" spans="2:3" x14ac:dyDescent="0.2">
      <c r="B137" s="62" t="s">
        <v>215</v>
      </c>
      <c r="C137" s="63">
        <v>1</v>
      </c>
    </row>
    <row r="138" spans="2:3" x14ac:dyDescent="0.2">
      <c r="B138" s="62" t="s">
        <v>216</v>
      </c>
      <c r="C138" s="63">
        <v>1</v>
      </c>
    </row>
    <row r="139" spans="2:3" x14ac:dyDescent="0.2">
      <c r="B139" s="62" t="s">
        <v>217</v>
      </c>
      <c r="C139" s="63">
        <v>12400</v>
      </c>
    </row>
    <row r="140" spans="2:3" x14ac:dyDescent="0.2">
      <c r="B140" s="62" t="s">
        <v>218</v>
      </c>
      <c r="C140" s="63">
        <v>5560</v>
      </c>
    </row>
    <row r="141" spans="2:3" x14ac:dyDescent="0.2">
      <c r="B141" s="62" t="s">
        <v>219</v>
      </c>
      <c r="C141" s="63">
        <v>523</v>
      </c>
    </row>
    <row r="142" spans="2:3" x14ac:dyDescent="0.2">
      <c r="B142" s="62" t="s">
        <v>220</v>
      </c>
      <c r="C142" s="63">
        <v>6450</v>
      </c>
    </row>
    <row r="143" spans="2:3" x14ac:dyDescent="0.2">
      <c r="B143" s="62" t="s">
        <v>221</v>
      </c>
      <c r="C143" s="63">
        <v>5350</v>
      </c>
    </row>
    <row r="144" spans="2:3" x14ac:dyDescent="0.2">
      <c r="B144" s="62" t="s">
        <v>222</v>
      </c>
      <c r="C144" s="63">
        <v>1790</v>
      </c>
    </row>
    <row r="145" spans="2:3" x14ac:dyDescent="0.2">
      <c r="B145" s="62" t="s">
        <v>223</v>
      </c>
      <c r="C145" s="63">
        <v>979</v>
      </c>
    </row>
    <row r="146" spans="2:3" x14ac:dyDescent="0.2">
      <c r="B146" s="62" t="s">
        <v>224</v>
      </c>
      <c r="C146" s="63">
        <v>654</v>
      </c>
    </row>
    <row r="147" spans="2:3" x14ac:dyDescent="0.2">
      <c r="B147" s="62" t="s">
        <v>67</v>
      </c>
      <c r="C147" s="63">
        <v>828</v>
      </c>
    </row>
    <row r="148" spans="2:3" x14ac:dyDescent="0.2">
      <c r="B148" s="62" t="s">
        <v>225</v>
      </c>
      <c r="C148" s="63">
        <v>812</v>
      </c>
    </row>
    <row r="149" spans="2:3" x14ac:dyDescent="0.2">
      <c r="B149" s="62" t="s">
        <v>226</v>
      </c>
      <c r="C149" s="63">
        <v>3070</v>
      </c>
    </row>
    <row r="150" spans="2:3" x14ac:dyDescent="0.2">
      <c r="B150" s="62" t="s">
        <v>227</v>
      </c>
      <c r="C150" s="63">
        <v>929</v>
      </c>
    </row>
    <row r="151" spans="2:3" x14ac:dyDescent="0.2">
      <c r="B151" s="62" t="s">
        <v>68</v>
      </c>
      <c r="C151" s="63">
        <v>2910</v>
      </c>
    </row>
    <row r="152" spans="2:3" x14ac:dyDescent="0.2">
      <c r="B152" s="62" t="s">
        <v>228</v>
      </c>
      <c r="C152" s="63">
        <v>530</v>
      </c>
    </row>
    <row r="153" spans="2:3" x14ac:dyDescent="0.2">
      <c r="B153" s="62" t="s">
        <v>69</v>
      </c>
      <c r="C153" s="63">
        <v>854</v>
      </c>
    </row>
    <row r="154" spans="2:3" x14ac:dyDescent="0.2">
      <c r="B154" s="62" t="s">
        <v>229</v>
      </c>
      <c r="C154" s="63">
        <v>889</v>
      </c>
    </row>
    <row r="155" spans="2:3" x14ac:dyDescent="0.2">
      <c r="B155" s="62" t="s">
        <v>230</v>
      </c>
      <c r="C155" s="63">
        <v>387</v>
      </c>
    </row>
    <row r="156" spans="2:3" x14ac:dyDescent="0.2">
      <c r="B156" s="62" t="s">
        <v>233</v>
      </c>
      <c r="C156" s="63">
        <v>413</v>
      </c>
    </row>
    <row r="157" spans="2:3" x14ac:dyDescent="0.2">
      <c r="B157" s="62" t="s">
        <v>231</v>
      </c>
      <c r="C157" s="63">
        <v>719</v>
      </c>
    </row>
    <row r="158" spans="2:3" x14ac:dyDescent="0.2">
      <c r="B158" s="62" t="s">
        <v>232</v>
      </c>
      <c r="C158" s="63">
        <v>446</v>
      </c>
    </row>
    <row r="159" spans="2:3" x14ac:dyDescent="0.2">
      <c r="B159" s="62" t="s">
        <v>234</v>
      </c>
      <c r="C159" s="63">
        <v>627</v>
      </c>
    </row>
    <row r="160" spans="2:3" x14ac:dyDescent="0.2">
      <c r="B160" s="62" t="s">
        <v>235</v>
      </c>
      <c r="C160" s="63">
        <v>2820</v>
      </c>
    </row>
    <row r="161" spans="2:3" x14ac:dyDescent="0.2">
      <c r="B161" s="62" t="s">
        <v>236</v>
      </c>
      <c r="C161" s="63">
        <v>421</v>
      </c>
    </row>
    <row r="162" spans="2:3" x14ac:dyDescent="0.2">
      <c r="B162" s="62" t="s">
        <v>237</v>
      </c>
      <c r="C162" s="63">
        <v>57</v>
      </c>
    </row>
    <row r="163" spans="2:3" x14ac:dyDescent="0.2">
      <c r="B163" s="62" t="s">
        <v>281</v>
      </c>
      <c r="C163" s="63">
        <v>2230</v>
      </c>
    </row>
    <row r="164" spans="2:3" x14ac:dyDescent="0.2">
      <c r="B164" s="62" t="s">
        <v>70</v>
      </c>
      <c r="C164" s="63">
        <v>100</v>
      </c>
    </row>
    <row r="165" spans="2:3" x14ac:dyDescent="0.2">
      <c r="B165" s="62" t="s">
        <v>71</v>
      </c>
      <c r="C165" s="63">
        <v>7000</v>
      </c>
    </row>
    <row r="166" spans="2:3" x14ac:dyDescent="0.2">
      <c r="B166" s="62" t="s">
        <v>72</v>
      </c>
      <c r="C166" s="63">
        <v>8700</v>
      </c>
    </row>
    <row r="167" spans="2:3" x14ac:dyDescent="0.2">
      <c r="B167" s="62" t="s">
        <v>238</v>
      </c>
      <c r="C167" s="63">
        <v>9200</v>
      </c>
    </row>
    <row r="168" spans="2:3" x14ac:dyDescent="0.2">
      <c r="B168" s="62" t="s">
        <v>73</v>
      </c>
      <c r="C168" s="63">
        <v>9200</v>
      </c>
    </row>
    <row r="169" spans="2:3" x14ac:dyDescent="0.2">
      <c r="B169" s="62" t="s">
        <v>74</v>
      </c>
      <c r="C169" s="63">
        <v>7400</v>
      </c>
    </row>
    <row r="170" spans="2:3" x14ac:dyDescent="0.2">
      <c r="B170" s="62" t="s">
        <v>75</v>
      </c>
      <c r="C170" s="63">
        <v>6500</v>
      </c>
    </row>
    <row r="171" spans="2:3" x14ac:dyDescent="0.2">
      <c r="B171" s="62" t="s">
        <v>76</v>
      </c>
      <c r="C171" s="63">
        <v>7500</v>
      </c>
    </row>
    <row r="172" spans="2:3" x14ac:dyDescent="0.2">
      <c r="B172" s="62" t="s">
        <v>77</v>
      </c>
      <c r="C172" s="63">
        <v>7000</v>
      </c>
    </row>
    <row r="173" spans="2:3" x14ac:dyDescent="0.2">
      <c r="B173" s="62" t="s">
        <v>239</v>
      </c>
      <c r="C173" s="63">
        <v>7190</v>
      </c>
    </row>
    <row r="174" spans="2:3" x14ac:dyDescent="0.2">
      <c r="B174" s="62" t="s">
        <v>78</v>
      </c>
      <c r="C174" s="63">
        <v>9710</v>
      </c>
    </row>
    <row r="175" spans="2:3" x14ac:dyDescent="0.2">
      <c r="B175" s="62" t="s">
        <v>79</v>
      </c>
      <c r="C175" s="63">
        <v>3.3</v>
      </c>
    </row>
    <row r="176" spans="2:3" x14ac:dyDescent="0.2">
      <c r="B176" s="62" t="s">
        <v>282</v>
      </c>
      <c r="C176" s="63">
        <v>23900</v>
      </c>
    </row>
    <row r="177" spans="2:3" x14ac:dyDescent="0.2">
      <c r="B177" s="62" t="s">
        <v>80</v>
      </c>
      <c r="C177" s="63">
        <v>1400</v>
      </c>
    </row>
    <row r="178" spans="2:3" x14ac:dyDescent="0.2">
      <c r="B178" s="62" t="s">
        <v>81</v>
      </c>
      <c r="C178" s="63">
        <v>4</v>
      </c>
    </row>
    <row r="179" spans="2:3" x14ac:dyDescent="0.2">
      <c r="B179" s="62" t="s">
        <v>82</v>
      </c>
      <c r="C179" s="63">
        <v>6</v>
      </c>
    </row>
    <row r="180" spans="2:3" x14ac:dyDescent="0.2">
      <c r="B180" s="62" t="s">
        <v>83</v>
      </c>
      <c r="C180" s="63">
        <v>0.4</v>
      </c>
    </row>
    <row r="181" spans="2:3" x14ac:dyDescent="0.2">
      <c r="B181" s="62" t="s">
        <v>84</v>
      </c>
      <c r="C181" s="63">
        <v>17400</v>
      </c>
    </row>
    <row r="182" spans="2:3" x14ac:dyDescent="0.2">
      <c r="B182" s="62" t="s">
        <v>85</v>
      </c>
      <c r="C182" s="63">
        <v>17200</v>
      </c>
    </row>
    <row r="184" spans="2:3" ht="28.5" x14ac:dyDescent="0.2">
      <c r="B184" s="18" t="s">
        <v>260</v>
      </c>
    </row>
  </sheetData>
  <sheetProtection sheet="1" objects="1" scenarios="1"/>
  <mergeCells count="22">
    <mergeCell ref="H6:J7"/>
    <mergeCell ref="B74:D75"/>
    <mergeCell ref="B59:C59"/>
    <mergeCell ref="C47:F47"/>
    <mergeCell ref="C48:F48"/>
    <mergeCell ref="B49:D49"/>
    <mergeCell ref="C51:D51"/>
    <mergeCell ref="B51:B52"/>
    <mergeCell ref="B67:C67"/>
    <mergeCell ref="B33:D33"/>
    <mergeCell ref="C28:F28"/>
    <mergeCell ref="B1:E1"/>
    <mergeCell ref="B2:E2"/>
    <mergeCell ref="C3:E3"/>
    <mergeCell ref="B5:E5"/>
    <mergeCell ref="B58:D58"/>
    <mergeCell ref="B29:D29"/>
    <mergeCell ref="C46:F46"/>
    <mergeCell ref="B16:E16"/>
    <mergeCell ref="B20:E20"/>
    <mergeCell ref="C26:F26"/>
    <mergeCell ref="C27:F27"/>
  </mergeCells>
  <hyperlinks>
    <hyperlink ref="H6:J7" location="Menú!A1" display="Volver al Menu"/>
    <hyperlink ref="C28" r:id="rId1"/>
    <hyperlink ref="C48" r:id="rId2"/>
  </hyperlinks>
  <pageMargins left="0.7" right="0.7" top="0.75" bottom="0.75" header="0.3" footer="0.3"/>
  <pageSetup paperSize="9" orientation="portrait"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K14"/>
  <sheetViews>
    <sheetView showGridLines="0" showRowColHeaders="0" workbookViewId="0">
      <selection activeCell="D11" sqref="D11"/>
    </sheetView>
  </sheetViews>
  <sheetFormatPr baseColWidth="10" defaultRowHeight="14.25" x14ac:dyDescent="0.2"/>
  <cols>
    <col min="1" max="1" width="15.25" customWidth="1"/>
  </cols>
  <sheetData>
    <row r="1" spans="1:11" x14ac:dyDescent="0.2">
      <c r="A1" s="221" t="s">
        <v>183</v>
      </c>
      <c r="B1" s="221"/>
      <c r="C1" s="221"/>
      <c r="D1" s="221"/>
      <c r="E1" s="221"/>
      <c r="F1" s="221"/>
      <c r="G1" s="221"/>
      <c r="H1" s="221"/>
      <c r="I1" s="221"/>
      <c r="J1" s="221"/>
      <c r="K1" s="221"/>
    </row>
    <row r="2" spans="1:11" x14ac:dyDescent="0.2">
      <c r="A2" s="221"/>
      <c r="B2" s="221"/>
      <c r="C2" s="221"/>
      <c r="D2" s="221"/>
      <c r="E2" s="221"/>
      <c r="F2" s="221"/>
      <c r="G2" s="221"/>
      <c r="H2" s="221"/>
      <c r="I2" s="221"/>
      <c r="J2" s="221"/>
      <c r="K2" s="221"/>
    </row>
    <row r="3" spans="1:11" x14ac:dyDescent="0.2">
      <c r="A3" t="s">
        <v>184</v>
      </c>
    </row>
    <row r="5" spans="1:11" ht="23.25" x14ac:dyDescent="0.35">
      <c r="A5" s="134"/>
      <c r="B5" s="134"/>
      <c r="C5" s="134"/>
      <c r="D5" s="134"/>
      <c r="E5" s="134"/>
      <c r="F5" s="134"/>
    </row>
    <row r="6" spans="1:11" ht="45" customHeight="1" x14ac:dyDescent="0.2">
      <c r="A6" s="223" t="s">
        <v>264</v>
      </c>
      <c r="B6" s="223"/>
      <c r="C6" s="223"/>
      <c r="D6" s="223"/>
      <c r="E6" s="223"/>
      <c r="F6" s="223"/>
      <c r="G6" s="223"/>
      <c r="H6" s="223"/>
    </row>
    <row r="7" spans="1:11" ht="18" x14ac:dyDescent="0.2">
      <c r="A7" s="138" t="s">
        <v>189</v>
      </c>
      <c r="B7" s="135"/>
      <c r="C7" s="139" t="s">
        <v>191</v>
      </c>
      <c r="D7" s="139" t="s">
        <v>190</v>
      </c>
      <c r="E7" s="135"/>
    </row>
    <row r="8" spans="1:11" x14ac:dyDescent="0.2">
      <c r="A8" s="135"/>
      <c r="B8" s="135"/>
      <c r="C8" s="141">
        <v>1</v>
      </c>
      <c r="D8" s="140">
        <f>IF(C8&lt;&gt;"",C8*3.78541,"")</f>
        <v>3.7854100000000002</v>
      </c>
      <c r="E8" s="135"/>
    </row>
    <row r="9" spans="1:11" ht="45" customHeight="1" x14ac:dyDescent="0.2">
      <c r="A9" s="135"/>
      <c r="B9" s="135"/>
      <c r="C9" s="135"/>
      <c r="D9" s="135"/>
      <c r="E9" s="135"/>
      <c r="F9" s="135"/>
      <c r="G9" s="135" t="s">
        <v>150</v>
      </c>
    </row>
    <row r="10" spans="1:11" ht="30" x14ac:dyDescent="0.2">
      <c r="C10" s="21" t="s">
        <v>187</v>
      </c>
      <c r="D10" s="70" t="s">
        <v>188</v>
      </c>
      <c r="H10" s="193" t="s">
        <v>248</v>
      </c>
      <c r="I10" s="193"/>
      <c r="J10" s="193"/>
    </row>
    <row r="11" spans="1:11" x14ac:dyDescent="0.2">
      <c r="C11" s="11"/>
      <c r="D11" s="129" t="str">
        <f>IF(Tabla108[Litros Totales]&gt;0,C11*Factores!C31,"")</f>
        <v/>
      </c>
      <c r="H11" s="193"/>
      <c r="I11" s="193"/>
      <c r="J11" s="193"/>
    </row>
    <row r="14" spans="1:11" ht="18.75" x14ac:dyDescent="0.2">
      <c r="H14" s="222" t="s">
        <v>263</v>
      </c>
      <c r="I14" s="222"/>
      <c r="J14" s="222"/>
    </row>
  </sheetData>
  <sheetProtection sheet="1" objects="1" scenarios="1"/>
  <mergeCells count="4">
    <mergeCell ref="A1:K2"/>
    <mergeCell ref="H10:J11"/>
    <mergeCell ref="H14:J14"/>
    <mergeCell ref="A6:H6"/>
  </mergeCells>
  <hyperlinks>
    <hyperlink ref="H10:J11" location="Menú!A1" display="Volver al Menu"/>
    <hyperlink ref="H14:J14" location="Cálculo!A1" display="Calculo de Emisiones"/>
  </hyperlink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40"/>
  <sheetViews>
    <sheetView showGridLines="0" showRowColHeaders="0" zoomScaleNormal="100" workbookViewId="0">
      <selection activeCell="D10" sqref="D10"/>
    </sheetView>
  </sheetViews>
  <sheetFormatPr baseColWidth="10" defaultColWidth="11" defaultRowHeight="15" x14ac:dyDescent="0.2"/>
  <cols>
    <col min="1" max="1" width="3.875" style="9" customWidth="1"/>
    <col min="2" max="2" width="22.625" style="9" customWidth="1"/>
    <col min="3" max="3" width="21.875" style="18" bestFit="1" customWidth="1"/>
    <col min="4" max="4" width="21.875" style="18" customWidth="1"/>
    <col min="5" max="5" width="16.875" style="18" customWidth="1"/>
    <col min="6" max="6" width="15.75" style="18" customWidth="1"/>
    <col min="7" max="7" width="11.875" style="18" customWidth="1"/>
    <col min="8" max="8" width="12.5" style="18" bestFit="1" customWidth="1"/>
    <col min="9" max="9" width="21.375" style="18" bestFit="1" customWidth="1"/>
    <col min="10" max="10" width="22.125" style="18" bestFit="1" customWidth="1"/>
    <col min="11" max="11" width="22" style="18" bestFit="1" customWidth="1"/>
    <col min="12" max="12" width="16.375" style="18" bestFit="1" customWidth="1"/>
    <col min="13" max="13" width="12.875" style="18" bestFit="1" customWidth="1"/>
    <col min="14" max="14" width="13" style="18" bestFit="1" customWidth="1"/>
    <col min="15" max="16384" width="11" style="18"/>
  </cols>
  <sheetData>
    <row r="1" spans="1:14" ht="15" customHeight="1" x14ac:dyDescent="0.2">
      <c r="A1" s="221" t="s">
        <v>90</v>
      </c>
      <c r="B1" s="221"/>
      <c r="C1" s="221"/>
      <c r="D1" s="221"/>
      <c r="E1" s="221"/>
      <c r="F1" s="221"/>
      <c r="G1" s="221"/>
      <c r="H1" s="221"/>
      <c r="I1" s="221"/>
      <c r="J1" s="221"/>
      <c r="K1" s="221"/>
      <c r="L1" s="221"/>
      <c r="M1" s="221"/>
      <c r="N1" s="221"/>
    </row>
    <row r="2" spans="1:14" ht="15" customHeight="1" x14ac:dyDescent="0.2">
      <c r="A2" s="221"/>
      <c r="B2" s="221"/>
      <c r="C2" s="221"/>
      <c r="D2" s="221"/>
      <c r="E2" s="221"/>
      <c r="F2" s="221"/>
      <c r="G2" s="221"/>
      <c r="H2" s="221"/>
      <c r="I2" s="221"/>
      <c r="J2" s="221"/>
      <c r="K2" s="221"/>
      <c r="L2" s="221"/>
      <c r="M2" s="221"/>
      <c r="N2" s="221"/>
    </row>
    <row r="3" spans="1:14" ht="15" customHeight="1" x14ac:dyDescent="0.2">
      <c r="A3" s="224" t="s">
        <v>194</v>
      </c>
      <c r="B3" s="224"/>
      <c r="C3" s="224"/>
      <c r="D3" s="224"/>
      <c r="E3" s="224"/>
      <c r="F3" s="224"/>
      <c r="G3" s="224"/>
      <c r="H3" s="224"/>
      <c r="I3" s="224"/>
    </row>
    <row r="4" spans="1:14" ht="45" customHeight="1" x14ac:dyDescent="0.2">
      <c r="A4" s="58"/>
      <c r="B4" s="226" t="s">
        <v>12</v>
      </c>
      <c r="C4" s="226"/>
      <c r="D4" s="226"/>
      <c r="E4" s="107"/>
      <c r="F4" s="107"/>
      <c r="G4" s="107"/>
      <c r="I4" s="226" t="s">
        <v>13</v>
      </c>
      <c r="J4" s="226"/>
      <c r="K4" s="226"/>
      <c r="L4" s="93"/>
    </row>
    <row r="5" spans="1:14" ht="14.25" customHeight="1" x14ac:dyDescent="0.2">
      <c r="A5" s="58"/>
      <c r="B5" s="226"/>
      <c r="C5" s="226"/>
      <c r="D5" s="226"/>
      <c r="E5" s="107"/>
      <c r="F5" s="107"/>
      <c r="G5" s="107"/>
      <c r="I5" s="58"/>
      <c r="J5" s="58"/>
      <c r="K5" s="58"/>
    </row>
    <row r="6" spans="1:14" ht="15" customHeight="1" x14ac:dyDescent="0.2">
      <c r="A6" s="58"/>
      <c r="B6" s="225" t="s">
        <v>11</v>
      </c>
      <c r="C6" s="225"/>
      <c r="D6" s="225"/>
      <c r="E6"/>
      <c r="F6"/>
      <c r="G6"/>
      <c r="H6" s="5"/>
      <c r="I6" s="225" t="s">
        <v>11</v>
      </c>
      <c r="J6" s="225"/>
      <c r="K6" s="225"/>
      <c r="L6"/>
      <c r="M6"/>
    </row>
    <row r="7" spans="1:14" ht="15" customHeight="1" x14ac:dyDescent="0.2">
      <c r="A7" s="58"/>
      <c r="B7" s="73" t="s">
        <v>7</v>
      </c>
      <c r="C7" s="77" t="s">
        <v>135</v>
      </c>
      <c r="D7" s="74" t="s">
        <v>133</v>
      </c>
      <c r="E7" s="110" t="s">
        <v>164</v>
      </c>
      <c r="F7" s="111" t="s">
        <v>162</v>
      </c>
      <c r="G7" s="112" t="s">
        <v>163</v>
      </c>
      <c r="H7" s="5"/>
      <c r="I7" s="21" t="s">
        <v>7</v>
      </c>
      <c r="J7" s="70" t="s">
        <v>136</v>
      </c>
      <c r="K7" s="70" t="s">
        <v>134</v>
      </c>
      <c r="L7" s="110" t="s">
        <v>164</v>
      </c>
      <c r="M7" s="111" t="s">
        <v>162</v>
      </c>
      <c r="N7" s="112" t="s">
        <v>163</v>
      </c>
    </row>
    <row r="8" spans="1:14" ht="28.5" x14ac:dyDescent="0.2">
      <c r="A8" s="58"/>
      <c r="B8" s="18" t="s">
        <v>97</v>
      </c>
      <c r="C8" s="2" t="s">
        <v>289</v>
      </c>
      <c r="D8" s="20">
        <v>530.01</v>
      </c>
      <c r="E8" s="144">
        <f>IFERROR(((VLOOKUP(Tabla4[[#This Row],[Tipo de Combustible]],Factores!$B$7:$E$13,2,FALSE))*Tabla4[[#This Row],[Litros Totales/ año]]),"")</f>
        <v>1182.4523099999999</v>
      </c>
      <c r="F8" s="144">
        <f>IFERROR(((VLOOKUP(Tabla4[[#This Row],[Tipo de Combustible]],Factores!$B$7:$E$13,3,FALSE))*Tabla4[[#This Row],[Litros Totales/ año]])/1000,"")</f>
        <v>0.48071906999999997</v>
      </c>
      <c r="G8" s="144">
        <f>IFERROR(((VLOOKUP(Tabla4[[#This Row],[Tipo de Combustible]],Factores!$B$7:$E$13,4,FALSE))*Tabla4[[#This Row],[Litros Totales/ año]])/1000,"")</f>
        <v>0.14999282999999997</v>
      </c>
      <c r="H8" s="5"/>
      <c r="K8" s="20"/>
      <c r="L8" s="80" t="str">
        <f>IFERROR((VLOOKUP(Tabla5[[#This Row],[Tipo de Combustible]],Factores!$B$21:$E$24,2,FALSE))*Tabla5[[#This Row],[Litros Totales / año]],"")</f>
        <v/>
      </c>
      <c r="M8" s="80" t="str">
        <f>IFERROR(((VLOOKUP(Tabla5[[#This Row],[Tipo de Combustible]],Factores!$B$21:$E$24,3,FALSE))*Tabla5[[#This Row],[Litros Totales / año]])/1000,"")</f>
        <v/>
      </c>
      <c r="N8" s="80" t="str">
        <f>IFERROR(((VLOOKUP(Tabla5[[#This Row],[Tipo de Combustible]],Factores!$B$21:$E$24,4,FALSE))*Tabla5[[#This Row],[Litros Totales / año]])/1000,"")</f>
        <v/>
      </c>
    </row>
    <row r="9" spans="1:14" ht="28.5" x14ac:dyDescent="0.2">
      <c r="A9" s="58"/>
      <c r="B9" s="18" t="s">
        <v>99</v>
      </c>
      <c r="C9" s="2" t="s">
        <v>289</v>
      </c>
      <c r="D9" s="3">
        <v>11467.37</v>
      </c>
      <c r="E9" s="144">
        <f>IFERROR(((VLOOKUP(Tabla4[[#This Row],[Tipo de Combustible]],Factores!$B$7:$E$13,2,FALSE))*Tabla4[[#This Row],[Litros Totales/ año]]),"")</f>
        <v>29964.237810000002</v>
      </c>
      <c r="F9" s="144">
        <f>IFERROR(((VLOOKUP(Tabla4[[#This Row],[Tipo de Combustible]],Factores!$B$7:$E$13,3,FALSE))*Tabla4[[#This Row],[Litros Totales/ año]])/1000,"")</f>
        <v>1.70863813</v>
      </c>
      <c r="G9" s="144">
        <f>IFERROR(((VLOOKUP(Tabla4[[#This Row],[Tipo de Combustible]],Factores!$B$7:$E$13,4,FALSE))*Tabla4[[#This Row],[Litros Totales/ año]])/1000,"")</f>
        <v>1.7659749800000002</v>
      </c>
      <c r="H9" s="5"/>
      <c r="K9" s="20"/>
      <c r="L9" s="80" t="str">
        <f>IFERROR((VLOOKUP(Tabla5[[#This Row],[Tipo de Combustible]],Factores!$B$21:$E$24,2,FALSE))*Tabla5[[#This Row],[Litros Totales / año]],"")</f>
        <v/>
      </c>
      <c r="M9" s="80" t="str">
        <f>IFERROR(((VLOOKUP(Tabla5[[#This Row],[Tipo de Combustible]],Factores!$B$21:$E$24,3,FALSE))*Tabla5[[#This Row],[Litros Totales / año]])/1000,"")</f>
        <v/>
      </c>
      <c r="N9" s="80" t="str">
        <f>IFERROR(((VLOOKUP(Tabla5[[#This Row],[Tipo de Combustible]],Factores!$B$21:$E$24,4,FALSE))*Tabla5[[#This Row],[Litros Totales / año]])/1000,"")</f>
        <v/>
      </c>
    </row>
    <row r="10" spans="1:14" x14ac:dyDescent="0.2">
      <c r="A10" s="58"/>
      <c r="B10" s="18"/>
      <c r="D10" s="20"/>
      <c r="E10" s="144" t="str">
        <f>IFERROR(((VLOOKUP(Tabla4[[#This Row],[Tipo de Combustible]],Factores!$B$7:$E$13,2,FALSE))*Tabla4[[#This Row],[Litros Totales/ año]]),"")</f>
        <v/>
      </c>
      <c r="F10" s="144" t="str">
        <f>IFERROR(((VLOOKUP(Tabla4[[#This Row],[Tipo de Combustible]],Factores!$B$7:$E$13,3,FALSE))*Tabla4[[#This Row],[Litros Totales/ año]])/1000,"")</f>
        <v/>
      </c>
      <c r="G10" s="144" t="str">
        <f>IFERROR(((VLOOKUP(Tabla4[[#This Row],[Tipo de Combustible]],Factores!$B$7:$E$13,4,FALSE))*Tabla4[[#This Row],[Litros Totales/ año]])/1000,"")</f>
        <v/>
      </c>
      <c r="H10" s="5"/>
      <c r="K10" s="20"/>
      <c r="L10" s="80" t="str">
        <f>IFERROR((VLOOKUP(Tabla5[[#This Row],[Tipo de Combustible]],Factores!$B$21:$E$24,2,FALSE))*Tabla5[[#This Row],[Litros Totales / año]],"")</f>
        <v/>
      </c>
      <c r="M10" s="80" t="str">
        <f>IFERROR(((VLOOKUP(Tabla5[[#This Row],[Tipo de Combustible]],Factores!$B$21:$E$24,3,FALSE))*Tabla5[[#This Row],[Litros Totales / año]])/1000,"")</f>
        <v/>
      </c>
      <c r="N10" s="80" t="str">
        <f>IFERROR(((VLOOKUP(Tabla5[[#This Row],[Tipo de Combustible]],Factores!$B$21:$E$24,4,FALSE))*Tabla5[[#This Row],[Litros Totales / año]])/1000,"")</f>
        <v/>
      </c>
    </row>
    <row r="11" spans="1:14" x14ac:dyDescent="0.2">
      <c r="A11" s="58"/>
      <c r="B11" s="18"/>
      <c r="D11" s="20"/>
      <c r="E11" s="144" t="str">
        <f>IFERROR(((VLOOKUP(Tabla4[[#This Row],[Tipo de Combustible]],Factores!$B$7:$E$13,2,FALSE))*Tabla4[[#This Row],[Litros Totales/ año]]),"")</f>
        <v/>
      </c>
      <c r="F11" s="144" t="str">
        <f>IFERROR(((VLOOKUP(Tabla4[[#This Row],[Tipo de Combustible]],Factores!$B$7:$E$13,3,FALSE))*Tabla4[[#This Row],[Litros Totales/ año]])/1000,"")</f>
        <v/>
      </c>
      <c r="G11" s="144" t="str">
        <f>IFERROR(((VLOOKUP(Tabla4[[#This Row],[Tipo de Combustible]],Factores!$B$7:$E$13,4,FALSE))*Tabla4[[#This Row],[Litros Totales/ año]])/1000,"")</f>
        <v/>
      </c>
      <c r="H11" s="5"/>
      <c r="K11" s="20"/>
      <c r="L11" s="80" t="str">
        <f>IFERROR((VLOOKUP(Tabla5[[#This Row],[Tipo de Combustible]],Factores!$B$21:$E$24,2,FALSE))*Tabla5[[#This Row],[Litros Totales / año]],"")</f>
        <v/>
      </c>
      <c r="M11" s="80" t="str">
        <f>IFERROR(((VLOOKUP(Tabla5[[#This Row],[Tipo de Combustible]],Factores!$B$21:$E$24,3,FALSE))*Tabla5[[#This Row],[Litros Totales / año]])/1000,"")</f>
        <v/>
      </c>
      <c r="N11" s="80" t="str">
        <f>IFERROR(((VLOOKUP(Tabla5[[#This Row],[Tipo de Combustible]],Factores!$B$21:$E$24,4,FALSE))*Tabla5[[#This Row],[Litros Totales / año]])/1000,"")</f>
        <v/>
      </c>
    </row>
    <row r="12" spans="1:14" x14ac:dyDescent="0.2">
      <c r="A12" s="58"/>
      <c r="B12" s="71"/>
      <c r="D12" s="20"/>
      <c r="E12" s="144" t="str">
        <f>IFERROR(((VLOOKUP(Tabla4[[#This Row],[Tipo de Combustible]],Factores!$B$7:$E$13,2,FALSE))*Tabla4[[#This Row],[Litros Totales/ año]]),"")</f>
        <v/>
      </c>
      <c r="F12" s="144" t="str">
        <f>IFERROR(((VLOOKUP(Tabla4[[#This Row],[Tipo de Combustible]],Factores!$B$7:$E$13,3,FALSE))*Tabla4[[#This Row],[Litros Totales/ año]])/1000,"")</f>
        <v/>
      </c>
      <c r="G12" s="144" t="str">
        <f>IFERROR(((VLOOKUP(Tabla4[[#This Row],[Tipo de Combustible]],Factores!$B$7:$E$13,4,FALSE))*Tabla4[[#This Row],[Litros Totales/ año]])/1000,"")</f>
        <v/>
      </c>
      <c r="H12" s="5"/>
      <c r="K12" s="20"/>
      <c r="L12" s="80" t="str">
        <f>IFERROR((VLOOKUP(Tabla5[[#This Row],[Tipo de Combustible]],Factores!$B$21:$E$24,2,FALSE))*Tabla5[[#This Row],[Litros Totales / año]],"")</f>
        <v/>
      </c>
      <c r="M12" s="80" t="str">
        <f>IFERROR(((VLOOKUP(Tabla5[[#This Row],[Tipo de Combustible]],Factores!$B$21:$E$24,3,FALSE))*Tabla5[[#This Row],[Litros Totales / año]])/1000,"")</f>
        <v/>
      </c>
      <c r="N12" s="80" t="str">
        <f>IFERROR(((VLOOKUP(Tabla5[[#This Row],[Tipo de Combustible]],Factores!$B$21:$E$24,4,FALSE))*Tabla5[[#This Row],[Litros Totales / año]])/1000,"")</f>
        <v/>
      </c>
    </row>
    <row r="13" spans="1:14" x14ac:dyDescent="0.2">
      <c r="A13" s="58"/>
      <c r="B13" s="18"/>
      <c r="C13" s="72"/>
      <c r="D13" s="75"/>
      <c r="E13" s="144" t="str">
        <f>IFERROR(((VLOOKUP(Tabla4[[#This Row],[Tipo de Combustible]],Factores!$B$7:$E$13,2,FALSE))*Tabla4[[#This Row],[Litros Totales/ año]]),"")</f>
        <v/>
      </c>
      <c r="F13" s="144" t="str">
        <f>IFERROR(((VLOOKUP(Tabla4[[#This Row],[Tipo de Combustible]],Factores!$B$7:$E$13,3,FALSE))*Tabla4[[#This Row],[Litros Totales/ año]])/1000,"")</f>
        <v/>
      </c>
      <c r="G13" s="144" t="str">
        <f>IFERROR(((VLOOKUP(Tabla4[[#This Row],[Tipo de Combustible]],Factores!$B$7:$E$13,4,FALSE))*Tabla4[[#This Row],[Litros Totales/ año]])/1000,"")</f>
        <v/>
      </c>
      <c r="H13" s="5"/>
      <c r="K13" s="20"/>
      <c r="L13" s="80" t="str">
        <f>IFERROR((VLOOKUP(Tabla5[[#This Row],[Tipo de Combustible]],Factores!$B$21:$E$24,2,FALSE))*Tabla5[[#This Row],[Litros Totales / año]],"")</f>
        <v/>
      </c>
      <c r="M13" s="80" t="str">
        <f>IFERROR(((VLOOKUP(Tabla5[[#This Row],[Tipo de Combustible]],Factores!$B$21:$E$24,3,FALSE))*Tabla5[[#This Row],[Litros Totales / año]])/1000,"")</f>
        <v/>
      </c>
      <c r="N13" s="80" t="str">
        <f>IFERROR(((VLOOKUP(Tabla5[[#This Row],[Tipo de Combustible]],Factores!$B$21:$E$24,4,FALSE))*Tabla5[[#This Row],[Litros Totales / año]])/1000,"")</f>
        <v/>
      </c>
    </row>
    <row r="14" spans="1:14" ht="15" customHeight="1" x14ac:dyDescent="0.2">
      <c r="A14" s="58"/>
      <c r="B14" s="71"/>
      <c r="C14" s="71"/>
      <c r="D14" s="76"/>
      <c r="E14" s="144" t="str">
        <f>IFERROR(((VLOOKUP(Tabla4[[#This Row],[Tipo de Combustible]],Factores!$B$7:$E$13,2,FALSE))*Tabla4[[#This Row],[Litros Totales/ año]]),"")</f>
        <v/>
      </c>
      <c r="F14" s="144" t="str">
        <f>IFERROR(((VLOOKUP(Tabla4[[#This Row],[Tipo de Combustible]],Factores!$B$7:$E$13,3,FALSE))*Tabla4[[#This Row],[Litros Totales/ año]])/1000,"")</f>
        <v/>
      </c>
      <c r="G14" s="144" t="str">
        <f>IFERROR(((VLOOKUP(Tabla4[[#This Row],[Tipo de Combustible]],Factores!$B$7:$E$13,4,FALSE))*Tabla4[[#This Row],[Litros Totales/ año]])/1000,"")</f>
        <v/>
      </c>
      <c r="H14" s="5"/>
      <c r="I14" s="71"/>
      <c r="J14" s="71"/>
      <c r="K14" s="20"/>
      <c r="L14" s="80" t="str">
        <f>IFERROR((VLOOKUP(Tabla5[[#This Row],[Tipo de Combustible]],Factores!$B$21:$E$24,2,FALSE))*Tabla5[[#This Row],[Litros Totales / año]],"")</f>
        <v/>
      </c>
      <c r="M14" s="80" t="str">
        <f>IFERROR(((VLOOKUP(Tabla5[[#This Row],[Tipo de Combustible]],Factores!$B$21:$E$24,3,FALSE))*Tabla5[[#This Row],[Litros Totales / año]])/1000,"")</f>
        <v/>
      </c>
      <c r="N14" s="80" t="str">
        <f>IFERROR(((VLOOKUP(Tabla5[[#This Row],[Tipo de Combustible]],Factores!$B$21:$E$24,4,FALSE))*Tabla5[[#This Row],[Litros Totales / año]])/1000,"")</f>
        <v/>
      </c>
    </row>
    <row r="15" spans="1:14" ht="15" customHeight="1" x14ac:dyDescent="0.2">
      <c r="A15" s="58"/>
      <c r="B15" t="s">
        <v>146</v>
      </c>
      <c r="C15"/>
      <c r="D15" s="92">
        <f>SUBTOTAL(109,Tabla4[Litros Totales/ año])</f>
        <v>11997.380000000001</v>
      </c>
      <c r="E15">
        <f>SUBTOTAL(109,Tabla4[kg CO2e/Año])</f>
        <v>31146.690120000003</v>
      </c>
      <c r="F15">
        <f>SUBTOTAL(109,Tabla4[kg/CH4/Año])</f>
        <v>2.1893571999999999</v>
      </c>
      <c r="G15">
        <f>SUBTOTAL(109,Tabla4[ kg/N2O/Año])</f>
        <v>1.9159678100000002</v>
      </c>
      <c r="H15" s="5"/>
      <c r="I15" s="18" t="s">
        <v>146</v>
      </c>
      <c r="K15" s="20">
        <f>SUBTOTAL(109,Tabla5[Litros Totales / año])</f>
        <v>0</v>
      </c>
      <c r="L15">
        <f>SUBTOTAL(109,Tabla5[kg CO2e/Año])</f>
        <v>0</v>
      </c>
      <c r="M15">
        <f>SUBTOTAL(109,Tabla5[kg/CH4/Año])</f>
        <v>0</v>
      </c>
      <c r="N15">
        <f>SUBTOTAL(109,Tabla5[ kg/N2O/Año])</f>
        <v>0</v>
      </c>
    </row>
    <row r="16" spans="1:14" ht="15" customHeight="1" x14ac:dyDescent="0.2">
      <c r="A16" s="58"/>
      <c r="B16" s="24"/>
      <c r="C16" s="5"/>
      <c r="D16" s="5"/>
      <c r="E16" s="5"/>
      <c r="F16" s="5"/>
      <c r="G16" s="5"/>
      <c r="H16" s="5"/>
      <c r="I16" s="71"/>
      <c r="J16" s="71"/>
    </row>
    <row r="17" spans="1:10" ht="15" customHeight="1" x14ac:dyDescent="0.2">
      <c r="A17" s="58"/>
      <c r="B17" s="24"/>
      <c r="C17" s="5"/>
      <c r="D17" s="5"/>
      <c r="E17" s="5"/>
      <c r="F17" s="5"/>
      <c r="G17" s="5"/>
      <c r="I17" s="71"/>
      <c r="J17" s="71"/>
    </row>
    <row r="18" spans="1:10" ht="34.5" customHeight="1" x14ac:dyDescent="0.2">
      <c r="A18" s="58"/>
      <c r="B18" s="18"/>
      <c r="I18" s="71"/>
      <c r="J18" s="71"/>
    </row>
    <row r="19" spans="1:10" x14ac:dyDescent="0.2">
      <c r="B19" s="18"/>
      <c r="I19" s="71"/>
      <c r="J19" s="71"/>
    </row>
    <row r="21" spans="1:10" ht="15" customHeight="1" x14ac:dyDescent="0.2"/>
    <row r="25" spans="1:10" ht="15" customHeight="1" x14ac:dyDescent="0.2"/>
    <row r="26" spans="1:10" ht="48.75" customHeight="1" x14ac:dyDescent="0.2"/>
    <row r="27" spans="1:10" x14ac:dyDescent="0.2">
      <c r="F27" s="193" t="s">
        <v>248</v>
      </c>
      <c r="G27" s="193"/>
      <c r="H27" s="193"/>
    </row>
    <row r="28" spans="1:10" ht="31.5" customHeight="1" x14ac:dyDescent="0.2">
      <c r="F28" s="193"/>
      <c r="G28" s="193"/>
      <c r="H28" s="193"/>
      <c r="J28" s="166"/>
    </row>
    <row r="30" spans="1:10" ht="36" customHeight="1" x14ac:dyDescent="0.2">
      <c r="F30" s="222" t="s">
        <v>263</v>
      </c>
      <c r="G30" s="222"/>
      <c r="H30" s="222"/>
      <c r="I30" s="160"/>
    </row>
    <row r="32" spans="1:10" ht="25.5" customHeight="1" x14ac:dyDescent="0.2"/>
    <row r="34" spans="10:10" ht="18" x14ac:dyDescent="0.2">
      <c r="J34" s="159"/>
    </row>
    <row r="36" spans="10:10" ht="15" customHeight="1" x14ac:dyDescent="0.2"/>
    <row r="37" spans="10:10" ht="15" customHeight="1" x14ac:dyDescent="0.2"/>
    <row r="40" spans="10:10" ht="15" customHeight="1" x14ac:dyDescent="0.2"/>
  </sheetData>
  <sheetProtection sheet="1" objects="1" scenarios="1" formatCells="0" formatColumns="0" formatRows="0"/>
  <mergeCells count="8">
    <mergeCell ref="F30:H30"/>
    <mergeCell ref="A1:N2"/>
    <mergeCell ref="A3:I3"/>
    <mergeCell ref="F27:H28"/>
    <mergeCell ref="B6:D6"/>
    <mergeCell ref="B4:D5"/>
    <mergeCell ref="I4:K4"/>
    <mergeCell ref="I6:K6"/>
  </mergeCells>
  <hyperlinks>
    <hyperlink ref="F27:H28" location="Menú!A1" display="Volver al Menu"/>
    <hyperlink ref="F30:H30" location="Cálculo!A1" display="Calculo de Emisiones"/>
  </hyperlink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Factores!$B$7:$B$13</xm:f>
          </x14:formula1>
          <xm:sqref>B8:B14</xm:sqref>
        </x14:dataValidation>
        <x14:dataValidation type="list" allowBlank="1" showInputMessage="1" showErrorMessage="1">
          <x14:formula1>
            <xm:f>Factores!$B$21:$B$24</xm:f>
          </x14:formula1>
          <xm:sqref>I8:I14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J25"/>
  <sheetViews>
    <sheetView showGridLines="0" showRowColHeaders="0" workbookViewId="0">
      <selection activeCell="D8" sqref="D8"/>
    </sheetView>
  </sheetViews>
  <sheetFormatPr baseColWidth="10" defaultRowHeight="14.25" x14ac:dyDescent="0.2"/>
  <cols>
    <col min="3" max="3" width="17.375" customWidth="1"/>
    <col min="4" max="4" width="20.625" bestFit="1" customWidth="1"/>
  </cols>
  <sheetData>
    <row r="1" spans="1:10" x14ac:dyDescent="0.2">
      <c r="A1" s="227" t="s">
        <v>137</v>
      </c>
      <c r="B1" s="227"/>
      <c r="C1" s="227"/>
      <c r="D1" s="227"/>
      <c r="E1" s="227"/>
      <c r="F1" s="227"/>
    </row>
    <row r="2" spans="1:10" ht="15" customHeight="1" x14ac:dyDescent="0.2">
      <c r="A2" s="227"/>
      <c r="B2" s="227"/>
      <c r="C2" s="227"/>
      <c r="D2" s="227"/>
      <c r="E2" s="227"/>
      <c r="F2" s="227"/>
    </row>
    <row r="3" spans="1:10" ht="15" customHeight="1" x14ac:dyDescent="0.35">
      <c r="A3" s="117"/>
      <c r="B3" s="117"/>
      <c r="C3" s="117"/>
      <c r="D3" s="117"/>
      <c r="E3" s="117"/>
      <c r="F3" s="117"/>
    </row>
    <row r="4" spans="1:10" ht="14.25" customHeight="1" x14ac:dyDescent="0.35">
      <c r="A4" s="117"/>
      <c r="B4" s="117"/>
      <c r="C4" s="117"/>
      <c r="D4" s="117"/>
      <c r="E4" s="117"/>
      <c r="F4" s="117"/>
    </row>
    <row r="5" spans="1:10" ht="30" customHeight="1" x14ac:dyDescent="0.2">
      <c r="A5" s="223" t="s">
        <v>175</v>
      </c>
      <c r="B5" s="223"/>
      <c r="C5" s="223"/>
      <c r="D5" s="223"/>
      <c r="E5" s="223"/>
      <c r="F5" s="23"/>
      <c r="G5" s="23"/>
    </row>
    <row r="6" spans="1:10" ht="15" customHeight="1" x14ac:dyDescent="0.2">
      <c r="C6" s="21" t="s">
        <v>9</v>
      </c>
      <c r="D6" s="70" t="s">
        <v>144</v>
      </c>
      <c r="H6" s="193" t="s">
        <v>248</v>
      </c>
      <c r="I6" s="193"/>
      <c r="J6" s="193"/>
    </row>
    <row r="7" spans="1:10" ht="14.25" customHeight="1" x14ac:dyDescent="0.2">
      <c r="C7" s="11">
        <v>2019</v>
      </c>
      <c r="D7" s="11">
        <v>1760.17</v>
      </c>
      <c r="H7" s="193"/>
      <c r="I7" s="193"/>
      <c r="J7" s="193"/>
    </row>
    <row r="9" spans="1:10" ht="18.75" x14ac:dyDescent="0.2">
      <c r="H9" s="222" t="s">
        <v>263</v>
      </c>
      <c r="I9" s="222"/>
      <c r="J9" s="222"/>
    </row>
    <row r="17" spans="1:10" ht="15" x14ac:dyDescent="0.25">
      <c r="J17" s="164"/>
    </row>
    <row r="25" spans="1:10" ht="15" x14ac:dyDescent="0.2">
      <c r="A25" s="9"/>
      <c r="B25" s="9"/>
      <c r="C25" s="18"/>
      <c r="D25" s="18"/>
      <c r="E25" s="18"/>
      <c r="F25" s="18"/>
      <c r="G25" s="18"/>
    </row>
  </sheetData>
  <sheetProtection sheet="1" objects="1" scenarios="1"/>
  <mergeCells count="4">
    <mergeCell ref="A1:F2"/>
    <mergeCell ref="A5:E5"/>
    <mergeCell ref="H6:J7"/>
    <mergeCell ref="H9:J9"/>
  </mergeCells>
  <hyperlinks>
    <hyperlink ref="H6:J7" location="Menú!A1" display="Volver al Menu"/>
    <hyperlink ref="H9:J9" location="Cálculo!A1" display="Calculo de Emisiones"/>
  </hyperlinks>
  <pageMargins left="0.7" right="0.7" top="0.75" bottom="0.75" header="0.3" footer="0.3"/>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Factores!$C$37:$C$42</xm:f>
          </x14:formula1>
          <xm:sqref>C7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L29"/>
  <sheetViews>
    <sheetView showGridLines="0" showRowColHeaders="0" workbookViewId="0">
      <selection activeCell="C15" sqref="C15"/>
    </sheetView>
  </sheetViews>
  <sheetFormatPr baseColWidth="10" defaultRowHeight="14.25" x14ac:dyDescent="0.2"/>
  <cols>
    <col min="2" max="2" width="25.25" customWidth="1"/>
    <col min="3" max="3" width="37.125" customWidth="1"/>
    <col min="4" max="4" width="11.625" bestFit="1" customWidth="1"/>
    <col min="5" max="5" width="16.625" customWidth="1"/>
    <col min="6" max="6" width="18.5" customWidth="1"/>
    <col min="7" max="7" width="14.375" customWidth="1"/>
    <col min="8" max="8" width="12.375" bestFit="1" customWidth="1"/>
  </cols>
  <sheetData>
    <row r="2" spans="1:12" ht="23.25" x14ac:dyDescent="0.35">
      <c r="B2" s="227" t="s">
        <v>10</v>
      </c>
      <c r="C2" s="227"/>
      <c r="D2" s="227"/>
      <c r="E2" s="227"/>
      <c r="F2" s="227"/>
      <c r="G2" s="227"/>
      <c r="H2" s="227"/>
      <c r="I2" s="227"/>
      <c r="J2" s="227"/>
      <c r="K2" s="227"/>
      <c r="L2" s="227"/>
    </row>
    <row r="3" spans="1:12" ht="23.25" x14ac:dyDescent="0.35">
      <c r="B3" s="84"/>
      <c r="C3" s="84"/>
      <c r="D3" s="84"/>
      <c r="E3" s="84"/>
      <c r="F3" s="84"/>
    </row>
    <row r="4" spans="1:12" ht="23.25" customHeight="1" x14ac:dyDescent="0.2">
      <c r="A4" s="228" t="s">
        <v>176</v>
      </c>
      <c r="B4" s="228"/>
      <c r="C4" s="228"/>
      <c r="D4" s="228"/>
      <c r="E4" s="228"/>
      <c r="F4" s="228"/>
      <c r="G4" s="228"/>
      <c r="H4" s="228"/>
      <c r="I4" s="228"/>
      <c r="J4" s="228"/>
      <c r="K4" s="228"/>
      <c r="L4" s="228"/>
    </row>
    <row r="5" spans="1:12" ht="23.25" x14ac:dyDescent="0.35">
      <c r="B5" s="84"/>
      <c r="C5" s="84"/>
      <c r="D5" s="84"/>
      <c r="E5" s="84"/>
      <c r="F5" s="84"/>
    </row>
    <row r="6" spans="1:12" ht="23.25" x14ac:dyDescent="0.35">
      <c r="A6" s="85" t="s">
        <v>265</v>
      </c>
      <c r="B6" s="84"/>
      <c r="C6" s="84"/>
      <c r="D6" s="84"/>
      <c r="E6" s="84"/>
      <c r="F6" s="84"/>
      <c r="G6" s="85"/>
    </row>
    <row r="7" spans="1:12" ht="60" x14ac:dyDescent="0.2">
      <c r="A7" s="58"/>
      <c r="B7" s="83"/>
      <c r="C7" s="21" t="s">
        <v>114</v>
      </c>
      <c r="D7" s="21" t="s">
        <v>153</v>
      </c>
      <c r="E7" s="88" t="s">
        <v>6</v>
      </c>
      <c r="F7" s="88" t="s">
        <v>177</v>
      </c>
      <c r="G7" s="88" t="s">
        <v>178</v>
      </c>
      <c r="H7" s="21" t="s">
        <v>155</v>
      </c>
      <c r="I7" s="18"/>
      <c r="J7" s="18"/>
    </row>
    <row r="8" spans="1:12" ht="15" x14ac:dyDescent="0.2">
      <c r="A8" s="58"/>
      <c r="B8" s="83"/>
      <c r="C8" s="86"/>
      <c r="D8" s="86"/>
      <c r="E8" s="86"/>
      <c r="F8" s="5"/>
      <c r="G8" s="5"/>
      <c r="H8" s="104" t="str">
        <f>IFERROR((((VLOOKUP('Aguas Residuales'!C8,Factores!B61:C65,2,FALSE)))*'Aguas Residuales'!E8)*((F8/24)*(G8/365)),"")</f>
        <v/>
      </c>
      <c r="I8" s="18"/>
      <c r="J8" s="18"/>
    </row>
    <row r="9" spans="1:12" ht="15" x14ac:dyDescent="0.2">
      <c r="A9" s="58"/>
      <c r="B9" s="83"/>
      <c r="C9" s="86"/>
      <c r="D9" s="86"/>
      <c r="E9" s="86"/>
      <c r="F9" s="86"/>
      <c r="G9" s="86"/>
      <c r="H9" s="104" t="str">
        <f>IFERROR((((VLOOKUP('Aguas Residuales'!C9,Factores!B62:C66,2,FALSE)))*'Aguas Residuales'!E9)*((F9/24)*(G9/365)),"")</f>
        <v/>
      </c>
    </row>
    <row r="10" spans="1:12" ht="15" x14ac:dyDescent="0.2">
      <c r="A10" s="58"/>
      <c r="B10" s="83"/>
      <c r="C10" s="86"/>
      <c r="D10" s="86"/>
      <c r="E10" s="86"/>
      <c r="F10" s="86"/>
      <c r="G10" s="86"/>
      <c r="H10" s="104" t="str">
        <f>IFERROR((((VLOOKUP('Aguas Residuales'!C10,Factores!B63:C67,2,FALSE)))*'Aguas Residuales'!E10)*((F10/24)*(G10/365)),"")</f>
        <v/>
      </c>
    </row>
    <row r="11" spans="1:12" ht="15" x14ac:dyDescent="0.2">
      <c r="A11" s="58"/>
      <c r="B11" s="83"/>
      <c r="C11" s="86"/>
      <c r="D11" s="86"/>
      <c r="E11" s="86"/>
      <c r="F11" s="86"/>
      <c r="G11" s="86"/>
      <c r="H11" s="5">
        <f>SUBTOTAL(109,Tabla1134[kg CH4/año])</f>
        <v>0</v>
      </c>
    </row>
    <row r="12" spans="1:12" ht="15" x14ac:dyDescent="0.2">
      <c r="A12" s="87" t="s">
        <v>151</v>
      </c>
      <c r="B12" s="83"/>
      <c r="C12" s="5"/>
      <c r="D12" s="5"/>
      <c r="E12" s="11"/>
      <c r="F12" s="18"/>
      <c r="G12" s="18"/>
    </row>
    <row r="13" spans="1:12" ht="15" x14ac:dyDescent="0.2">
      <c r="A13" s="58"/>
      <c r="B13" s="83"/>
      <c r="C13" s="18"/>
      <c r="D13" s="18"/>
      <c r="E13" s="18"/>
      <c r="F13" s="18"/>
      <c r="G13" s="11"/>
    </row>
    <row r="14" spans="1:12" ht="45" x14ac:dyDescent="0.2">
      <c r="A14" s="58"/>
      <c r="B14" s="83"/>
      <c r="C14" s="21" t="s">
        <v>114</v>
      </c>
      <c r="D14" s="21" t="s">
        <v>153</v>
      </c>
      <c r="E14" s="88" t="s">
        <v>242</v>
      </c>
      <c r="F14" s="88" t="s">
        <v>244</v>
      </c>
      <c r="G14" s="2" t="s">
        <v>243</v>
      </c>
      <c r="H14" s="92" t="s">
        <v>152</v>
      </c>
      <c r="I14" s="103" t="s">
        <v>156</v>
      </c>
      <c r="J14" s="11"/>
      <c r="K14" s="11"/>
    </row>
    <row r="15" spans="1:12" ht="15" x14ac:dyDescent="0.2">
      <c r="A15" s="58"/>
      <c r="B15" s="83"/>
      <c r="C15" s="4"/>
      <c r="D15" s="3"/>
      <c r="E15" s="89"/>
      <c r="F15" s="89"/>
      <c r="G15" s="89"/>
      <c r="H15" s="90">
        <f>((Tabla1235[[#This Row],[Promedio Caudal Q (m3/dia)]]*Tabla1235[[#This Row],[Concentracion Promedio DQO (mg/L)]])/1000)*Tabla1235[[#This Row],[Días de vertido por año]]</f>
        <v>0</v>
      </c>
      <c r="I15" s="102" t="str">
        <f>IFERROR(H15*(VLOOKUP(Tabla1235[[#This Row],[Tipo de Tratamiento]],Factores!B69:C72,2,FALSE)),"")</f>
        <v/>
      </c>
      <c r="J15" s="11"/>
      <c r="K15" s="11"/>
    </row>
    <row r="16" spans="1:12" x14ac:dyDescent="0.2">
      <c r="C16" s="4"/>
      <c r="D16" s="3"/>
      <c r="E16" s="89"/>
      <c r="F16" s="89"/>
      <c r="G16" s="89"/>
      <c r="H16" s="101">
        <f>((Tabla1235[[#This Row],[Promedio Caudal Q (m3/dia)]]*Tabla1235[[#This Row],[Concentracion Promedio DQO (mg/L)]])/1000)*Tabla1235[[#This Row],[Días de vertido por año]]</f>
        <v>0</v>
      </c>
      <c r="I16" s="102" t="str">
        <f>IFERROR(H16*(VLOOKUP(Tabla1235[[#This Row],[Tipo de Tratamiento]],Factores!B70:C73,2,FALSE)),"")</f>
        <v/>
      </c>
    </row>
    <row r="17" spans="3:10" x14ac:dyDescent="0.2">
      <c r="C17" s="4"/>
      <c r="D17" s="3"/>
      <c r="E17" s="3"/>
      <c r="F17" s="3"/>
      <c r="G17" s="3"/>
      <c r="H17" s="102">
        <f>((Tabla1235[[#This Row],[Promedio Caudal Q (m3/dia)]]*Tabla1235[[#This Row],[Concentracion Promedio DQO (mg/L)]])/1000)*Tabla1235[[#This Row],[Días de vertido por año]]</f>
        <v>0</v>
      </c>
      <c r="I17" s="102" t="str">
        <f>IFERROR(H17*(VLOOKUP(Tabla1235[[#This Row],[Tipo de Tratamiento]],Factores!B71:C74,2,FALSE)),"")</f>
        <v/>
      </c>
    </row>
    <row r="18" spans="3:10" x14ac:dyDescent="0.2">
      <c r="C18" s="105" t="s">
        <v>146</v>
      </c>
      <c r="D18" s="89"/>
      <c r="E18" s="89"/>
      <c r="F18" s="89"/>
      <c r="G18" s="89"/>
      <c r="H18" s="115"/>
      <c r="I18" s="115">
        <f>SUBTOTAL(109,Tabla1235[ kg CH4/año])</f>
        <v>0</v>
      </c>
    </row>
    <row r="21" spans="3:10" x14ac:dyDescent="0.2">
      <c r="C21" s="193" t="s">
        <v>248</v>
      </c>
      <c r="D21" s="193"/>
      <c r="E21" s="193"/>
    </row>
    <row r="22" spans="3:10" x14ac:dyDescent="0.2">
      <c r="C22" s="193"/>
      <c r="D22" s="193"/>
      <c r="E22" s="193"/>
    </row>
    <row r="24" spans="3:10" ht="18.75" x14ac:dyDescent="0.2">
      <c r="C24" s="222" t="s">
        <v>263</v>
      </c>
      <c r="D24" s="222"/>
      <c r="E24" s="222"/>
      <c r="J24" t="s">
        <v>150</v>
      </c>
    </row>
    <row r="27" spans="3:10" ht="14.25" customHeight="1" x14ac:dyDescent="0.2"/>
    <row r="29" spans="3:10" ht="14.25" customHeight="1" x14ac:dyDescent="0.2"/>
  </sheetData>
  <sheetProtection sheet="1" objects="1" scenarios="1" formatCells="0" formatColumns="0" formatRows="0"/>
  <mergeCells count="4">
    <mergeCell ref="B2:L2"/>
    <mergeCell ref="A4:L4"/>
    <mergeCell ref="C21:E22"/>
    <mergeCell ref="C24:E24"/>
  </mergeCells>
  <hyperlinks>
    <hyperlink ref="C21:E22" location="Menú!A1" display="Volver al Menu"/>
    <hyperlink ref="C24:E24" location="Cálculo!A1" display="Calculo de Emisiones"/>
  </hyperlinks>
  <pageMargins left="0.7" right="0.7" top="0.75" bottom="0.75" header="0.3" footer="0.3"/>
  <drawing r:id="rId1"/>
  <legacy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Factores!$B$61:$B$65</xm:f>
          </x14:formula1>
          <xm:sqref>C8:C10</xm:sqref>
        </x14:dataValidation>
        <x14:dataValidation type="list" allowBlank="1" showInputMessage="1" showErrorMessage="1">
          <x14:formula1>
            <xm:f>Factores!$B$69:$B$72</xm:f>
          </x14:formula1>
          <xm:sqref>C15:C17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M23"/>
  <sheetViews>
    <sheetView showGridLines="0" showRowColHeaders="0" workbookViewId="0">
      <selection activeCell="D9" sqref="D9"/>
    </sheetView>
  </sheetViews>
  <sheetFormatPr baseColWidth="10" defaultRowHeight="14.25" x14ac:dyDescent="0.2"/>
  <cols>
    <col min="2" max="2" width="12.625" customWidth="1"/>
    <col min="3" max="3" width="29.375" customWidth="1"/>
    <col min="4" max="4" width="21.625" bestFit="1" customWidth="1"/>
    <col min="5" max="5" width="21.625" customWidth="1"/>
    <col min="6" max="6" width="31" bestFit="1" customWidth="1"/>
    <col min="7" max="7" width="11.375" bestFit="1" customWidth="1"/>
    <col min="8" max="8" width="11.375" customWidth="1"/>
    <col min="9" max="9" width="8.5" customWidth="1"/>
  </cols>
  <sheetData>
    <row r="2" spans="1:13" ht="23.25" x14ac:dyDescent="0.35">
      <c r="A2" s="227" t="s">
        <v>14</v>
      </c>
      <c r="B2" s="227"/>
      <c r="C2" s="227"/>
      <c r="D2" s="227"/>
      <c r="E2" s="227"/>
      <c r="F2" s="227"/>
      <c r="G2" s="227"/>
      <c r="H2" s="227"/>
      <c r="I2" s="227"/>
      <c r="J2" s="227"/>
      <c r="K2" s="227"/>
      <c r="L2" s="227"/>
      <c r="M2" s="227"/>
    </row>
    <row r="3" spans="1:13" ht="23.25" x14ac:dyDescent="0.35">
      <c r="B3" s="84"/>
      <c r="C3" s="84"/>
      <c r="D3" s="84"/>
      <c r="E3" s="84"/>
      <c r="F3" s="84"/>
      <c r="G3" s="84"/>
    </row>
    <row r="4" spans="1:13" ht="23.25" customHeight="1" x14ac:dyDescent="0.2">
      <c r="A4" s="228" t="s">
        <v>179</v>
      </c>
      <c r="B4" s="228"/>
      <c r="C4" s="228"/>
      <c r="D4" s="228"/>
      <c r="E4" s="228"/>
      <c r="F4" s="228"/>
      <c r="G4" s="228"/>
      <c r="H4" s="228"/>
      <c r="I4" s="228"/>
      <c r="J4" s="228"/>
      <c r="K4" s="228"/>
      <c r="L4" s="228"/>
      <c r="M4" s="228"/>
    </row>
    <row r="5" spans="1:13" ht="23.25" x14ac:dyDescent="0.35">
      <c r="B5" s="84"/>
      <c r="C5" s="84"/>
      <c r="D5" s="84"/>
      <c r="E5" s="84"/>
      <c r="F5" s="84"/>
      <c r="G5" s="84"/>
    </row>
    <row r="6" spans="1:13" s="85" customFormat="1" ht="36.75" customHeight="1" x14ac:dyDescent="0.35">
      <c r="A6" s="229" t="s">
        <v>266</v>
      </c>
      <c r="B6" s="229"/>
      <c r="C6" s="229"/>
      <c r="D6" s="229"/>
      <c r="E6" s="229"/>
      <c r="F6" s="229"/>
      <c r="G6" s="84"/>
    </row>
    <row r="7" spans="1:13" ht="30" x14ac:dyDescent="0.2">
      <c r="A7" s="58"/>
      <c r="B7" s="83"/>
      <c r="C7" s="21" t="s">
        <v>167</v>
      </c>
      <c r="D7" s="91" t="s">
        <v>4</v>
      </c>
      <c r="E7" s="21" t="s">
        <v>156</v>
      </c>
      <c r="F7" s="21" t="s">
        <v>171</v>
      </c>
      <c r="G7" s="18"/>
      <c r="H7" s="18"/>
    </row>
    <row r="8" spans="1:13" ht="15" x14ac:dyDescent="0.2">
      <c r="A8" s="58"/>
      <c r="B8" s="83"/>
      <c r="C8" s="86" t="s">
        <v>113</v>
      </c>
      <c r="D8" s="86">
        <v>1012.42</v>
      </c>
      <c r="E8" s="86">
        <f>(VLOOKUP(Tabla11[[#This Row],[Tipo de tratamiento]],Factores!$B$53:$D$55,2,FALSE)*Tabla11[[#This Row],[Total kg RS por año laborado]])</f>
        <v>58.821601999999999</v>
      </c>
      <c r="F8" s="86">
        <f>(VLOOKUP(Tabla11[[#This Row],[Tipo de tratamiento]],Factores!$B$53:$D$55,3,FALSE)*Tabla11[[#This Row],[Total kg RS por año laborado]])</f>
        <v>0</v>
      </c>
      <c r="G8" s="18"/>
      <c r="H8" s="18"/>
    </row>
    <row r="9" spans="1:13" ht="15" x14ac:dyDescent="0.2">
      <c r="A9" s="58"/>
      <c r="B9" s="83"/>
      <c r="C9" s="86" t="s">
        <v>115</v>
      </c>
      <c r="D9" s="86"/>
      <c r="E9" s="86">
        <f>(VLOOKUP(Tabla11[[#This Row],[Tipo de tratamiento]],Factores!$B$53:$D$55,2,FALSE)*Tabla11[[#This Row],[Total kg RS por año laborado]])</f>
        <v>0</v>
      </c>
      <c r="F9" s="86">
        <f>(VLOOKUP(Tabla11[[#This Row],[Tipo de tratamiento]],Factores!$B$53:$D$55,3,FALSE)*Tabla11[[#This Row],[Total kg RS por año laborado]])</f>
        <v>0</v>
      </c>
      <c r="G9" s="18"/>
      <c r="H9" s="18"/>
    </row>
    <row r="10" spans="1:13" ht="15" x14ac:dyDescent="0.2">
      <c r="A10" s="58"/>
      <c r="B10" s="83"/>
      <c r="C10" s="86" t="s">
        <v>116</v>
      </c>
      <c r="D10" s="86"/>
      <c r="E10" s="86">
        <f>(VLOOKUP(Tabla11[[#This Row],[Tipo de tratamiento]],Factores!$B$53:$D$55,2,FALSE)*Tabla11[[#This Row],[Total kg RS por año laborado]])</f>
        <v>0</v>
      </c>
      <c r="F10" s="86">
        <f>(VLOOKUP(Tabla11[[#This Row],[Tipo de tratamiento]],Factores!$B$53:$D$55,3,FALSE)*Tabla11[[#This Row],[Total kg RS por año laborado]])</f>
        <v>0</v>
      </c>
      <c r="G10" s="18"/>
      <c r="H10" s="18"/>
    </row>
    <row r="11" spans="1:13" ht="15" x14ac:dyDescent="0.2">
      <c r="A11" s="58"/>
      <c r="B11" s="83"/>
      <c r="C11" s="86" t="s">
        <v>146</v>
      </c>
      <c r="D11" s="86">
        <f>SUBTOTAL(109,Tabla11[Total kg RS por año laborado])</f>
        <v>1012.42</v>
      </c>
      <c r="E11" s="145">
        <f>SUBTOTAL(109,Tabla11[ kg CH4/año])</f>
        <v>58.821601999999999</v>
      </c>
      <c r="F11" s="145">
        <f>SUBTOTAL(109,Tabla11[kg/N2O/año])</f>
        <v>0</v>
      </c>
      <c r="G11" s="18"/>
      <c r="H11" s="18"/>
    </row>
    <row r="12" spans="1:13" x14ac:dyDescent="0.2">
      <c r="A12" s="124" t="s">
        <v>267</v>
      </c>
      <c r="B12" s="125"/>
      <c r="C12" s="126"/>
      <c r="D12" s="126"/>
      <c r="E12" s="126"/>
      <c r="F12" s="127"/>
      <c r="G12" s="128"/>
      <c r="H12" s="128"/>
    </row>
    <row r="13" spans="1:13" ht="14.25" customHeight="1" x14ac:dyDescent="0.2">
      <c r="A13" s="58"/>
      <c r="B13" s="83"/>
      <c r="C13" s="18"/>
      <c r="D13" s="18"/>
      <c r="E13" s="18"/>
      <c r="F13" s="18"/>
      <c r="G13" s="18"/>
      <c r="H13" s="11"/>
    </row>
    <row r="14" spans="1:13" ht="45" x14ac:dyDescent="0.2">
      <c r="A14" s="58"/>
      <c r="C14" s="21" t="s">
        <v>167</v>
      </c>
      <c r="D14" s="88" t="s">
        <v>6</v>
      </c>
      <c r="E14" s="88" t="s">
        <v>177</v>
      </c>
      <c r="F14" s="88" t="s">
        <v>178</v>
      </c>
      <c r="G14" s="91" t="s">
        <v>4</v>
      </c>
      <c r="H14" s="103" t="s">
        <v>156</v>
      </c>
      <c r="I14" s="13" t="s">
        <v>171</v>
      </c>
    </row>
    <row r="15" spans="1:13" ht="14.25" customHeight="1" x14ac:dyDescent="0.2">
      <c r="A15" s="58"/>
      <c r="C15" s="3" t="s">
        <v>113</v>
      </c>
      <c r="D15" s="89"/>
      <c r="E15" s="89"/>
      <c r="F15" s="89"/>
      <c r="G15" s="154">
        <f>IFERROR(((Factores!$G$52)*Residuos!F15*D15)*(Tabla12[[#This Row],[Horas en la organización al día]]/24),"")</f>
        <v>0</v>
      </c>
      <c r="H15" s="154">
        <f>IFERROR((VLOOKUP(Tabla12[[#This Row],[Tipo de tratamiento]],Factores!$B$53:$D$55,2,FALSE)*Tabla12[[#This Row],[Total kg RS por año laborado]]),"0")</f>
        <v>0</v>
      </c>
      <c r="I15" s="155">
        <f>IFERROR((VLOOKUP(Tabla12[[#This Row],[Tipo de tratamiento]],Factores!$B$53:$D$55,3,FALSE)*Tabla12[[#This Row],[Total kg RS por año laborado]]),"0")</f>
        <v>0</v>
      </c>
    </row>
    <row r="16" spans="1:13" x14ac:dyDescent="0.2">
      <c r="C16" s="89" t="s">
        <v>113</v>
      </c>
      <c r="D16" s="89"/>
      <c r="E16" s="89"/>
      <c r="F16" s="89"/>
      <c r="G16" s="154">
        <f>IFERROR(((Factores!$G$52)*Residuos!F16*D16)*(Tabla12[[#This Row],[Horas en la organización al día]]/24)*(Tabla12[[#This Row],[Días laborados/año]]/365),"")</f>
        <v>0</v>
      </c>
      <c r="H16" s="156">
        <f>IFERROR((VLOOKUP(Tabla12[[#This Row],[Tipo de tratamiento]],Factores!$B$53:$D$55,2,FALSE)*Tabla12[[#This Row],[Total kg RS por año laborado]]),"0")</f>
        <v>0</v>
      </c>
      <c r="I16" s="155">
        <f>IFERROR((VLOOKUP(Tabla12[[#This Row],[Tipo de tratamiento]],Factores!$B$53:$D$55,3,FALSE)*Tabla12[[#This Row],[Total kg RS por año laborado]]),"0")</f>
        <v>0</v>
      </c>
    </row>
    <row r="17" spans="1:9" x14ac:dyDescent="0.2">
      <c r="C17" s="89" t="s">
        <v>146</v>
      </c>
      <c r="D17" s="89"/>
      <c r="E17" s="89"/>
      <c r="F17" s="89"/>
      <c r="G17" s="154">
        <f>SUBTOTAL(109,Tabla12[Total kg RS por año laborado])</f>
        <v>0</v>
      </c>
      <c r="H17" s="157">
        <f>SUBTOTAL(109,Tabla12[ kg CH4/año])</f>
        <v>0</v>
      </c>
      <c r="I17" s="158">
        <f>SUBTOTAL(109,Tabla12[kg/N2O/año])</f>
        <v>0</v>
      </c>
    </row>
    <row r="18" spans="1:9" x14ac:dyDescent="0.2">
      <c r="C18" s="3"/>
      <c r="D18" s="3"/>
      <c r="E18" s="3"/>
      <c r="F18" s="3"/>
    </row>
    <row r="19" spans="1:9" x14ac:dyDescent="0.2">
      <c r="C19" s="3"/>
      <c r="D19" s="3"/>
      <c r="E19" s="3"/>
      <c r="F19" s="3"/>
    </row>
    <row r="20" spans="1:9" ht="14.25" customHeight="1" x14ac:dyDescent="0.2">
      <c r="A20" t="s">
        <v>145</v>
      </c>
      <c r="C20" s="193" t="s">
        <v>248</v>
      </c>
      <c r="D20" s="193"/>
      <c r="E20" s="193"/>
      <c r="F20" s="3"/>
    </row>
    <row r="21" spans="1:9" x14ac:dyDescent="0.2">
      <c r="C21" s="193"/>
      <c r="D21" s="193"/>
      <c r="E21" s="193"/>
    </row>
    <row r="22" spans="1:9" ht="18.75" x14ac:dyDescent="0.3">
      <c r="F22" s="165"/>
    </row>
    <row r="23" spans="1:9" ht="18.75" x14ac:dyDescent="0.2">
      <c r="C23" s="222" t="s">
        <v>263</v>
      </c>
      <c r="D23" s="222"/>
      <c r="E23" s="222"/>
    </row>
  </sheetData>
  <sheetProtection sheet="1" objects="1" scenarios="1" formatCells="0" formatColumns="0" formatRows="0"/>
  <mergeCells count="5">
    <mergeCell ref="A2:M2"/>
    <mergeCell ref="A4:M4"/>
    <mergeCell ref="A6:F6"/>
    <mergeCell ref="C20:E21"/>
    <mergeCell ref="C23:E23"/>
  </mergeCells>
  <dataValidations count="2">
    <dataValidation type="list" allowBlank="1" showInputMessage="1" showErrorMessage="1" sqref="C18:C19">
      <formula1>$B$45:$B$47</formula1>
    </dataValidation>
    <dataValidation type="list" allowBlank="1" showInputMessage="1" showErrorMessage="1" sqref="C15:C16">
      <formula1>$B$48:$B$50</formula1>
    </dataValidation>
  </dataValidations>
  <hyperlinks>
    <hyperlink ref="C20:E21" location="Menú!A1" display="Volver al Menu"/>
    <hyperlink ref="C23:E23" location="Cálculo!A1" display="Calculo de Emisiones"/>
  </hyperlinks>
  <pageMargins left="0.7" right="0.7" top="0.75" bottom="0.75" header="0.3" footer="0.3"/>
  <legacy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Factores!$B$53:$B$55</xm:f>
          </x14:formula1>
          <xm:sqref>C8:C10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Menú</vt:lpstr>
      <vt:lpstr>Datos</vt:lpstr>
      <vt:lpstr>Instrucciones y autoría</vt:lpstr>
      <vt:lpstr>Factores</vt:lpstr>
      <vt:lpstr>Uso de Lubricantes</vt:lpstr>
      <vt:lpstr>Combustible</vt:lpstr>
      <vt:lpstr>Electricidad</vt:lpstr>
      <vt:lpstr>Aguas Residuales</vt:lpstr>
      <vt:lpstr>Residuos</vt:lpstr>
      <vt:lpstr>Emisiones Gases Refrigerantes</vt:lpstr>
      <vt:lpstr>Otras Emisiones</vt:lpstr>
      <vt:lpstr>Cálculo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Lupita-Neto</dc:creator>
  <cp:lastModifiedBy>Marylin Vargas Solis</cp:lastModifiedBy>
  <dcterms:created xsi:type="dcterms:W3CDTF">2012-11-14T15:49:20Z</dcterms:created>
  <dcterms:modified xsi:type="dcterms:W3CDTF">2021-01-20T23:09:23Z</dcterms:modified>
</cp:coreProperties>
</file>